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omments8.xml" ContentType="application/vnd.openxmlformats-officedocument.spreadsheetml.comments+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omments9.xml" ContentType="application/vnd.openxmlformats-officedocument.spreadsheetml.comments+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PUNTO CONSULTA SECCIONAL (Enero.2023)\INFOR_ADICIONAL\REVISION_GERENCIAL\2022\"/>
    </mc:Choice>
  </mc:AlternateContent>
  <bookViews>
    <workbookView xWindow="-120" yWindow="-120" windowWidth="20730" windowHeight="11160" tabRatio="1000" activeTab="8"/>
  </bookViews>
  <sheets>
    <sheet name="indicadores 2023" sheetId="20" r:id="rId1"/>
    <sheet name="indicadores 2022" sheetId="41" r:id="rId2"/>
    <sheet name="Objetivo 1(Encuestas)" sheetId="26" r:id="rId3"/>
    <sheet name="Objetivo 1(Calif. ss)" sheetId="5" r:id="rId4"/>
    <sheet name="Objetivo 1(Quejas)" sheetId="27" r:id="rId5"/>
    <sheet name="Objetivo 2 " sheetId="39" r:id="rId6"/>
    <sheet name="Objetivo 3 " sheetId="40" r:id="rId7"/>
    <sheet name="Cumplimiento Objetivos " sheetId="8" r:id="rId8"/>
    <sheet name="Eficacia del SGC (ajustado)" sheetId="30" r:id="rId9"/>
    <sheet name="NC 2021 - 2022" sheetId="23" r:id="rId10"/>
    <sheet name="ANEXO 2.Resultados aud.Inter" sheetId="11" r:id="rId11"/>
    <sheet name="NC Externa" sheetId="21" r:id="rId12"/>
    <sheet name="EVALUACIÓN A PROVEEDORES " sheetId="22" r:id="rId13"/>
    <sheet name="% Tareas_Rev.Gcial" sheetId="14" r:id="rId14"/>
    <sheet name="Gestion del Riesgo (2022)" sheetId="38" r:id="rId15"/>
    <sheet name="Gestión del Cambio (2022)" sheetId="37" r:id="rId16"/>
    <sheet name="Servicios No conformes" sheetId="16" r:id="rId17"/>
  </sheets>
  <externalReferences>
    <externalReference r:id="rId18"/>
    <externalReference r:id="rId19"/>
    <externalReference r:id="rId20"/>
    <externalReference r:id="rId21"/>
    <externalReference r:id="rId22"/>
  </externalReferences>
  <definedNames>
    <definedName name="A" localSheetId="8">#REF!</definedName>
    <definedName name="A" localSheetId="12">#REF!</definedName>
    <definedName name="A" localSheetId="15">#REF!</definedName>
    <definedName name="A" localSheetId="14">#REF!</definedName>
    <definedName name="A" localSheetId="1">#REF!</definedName>
    <definedName name="A" localSheetId="0">#REF!</definedName>
    <definedName name="A" localSheetId="9">#REF!</definedName>
    <definedName name="A" localSheetId="11">#REF!</definedName>
    <definedName name="A" localSheetId="2">#REF!</definedName>
    <definedName name="A" localSheetId="16">#REF!</definedName>
    <definedName name="A">#REF!</definedName>
    <definedName name="_xlnm.Print_Area" localSheetId="13">'% Tareas_Rev.Gcial'!$A$16:$Z$34</definedName>
    <definedName name="_xlnm.Print_Area" localSheetId="10">'ANEXO 2.Resultados aud.Inter'!$B$2:$P$22</definedName>
    <definedName name="_xlnm.Print_Area" localSheetId="1">'indicadores 2022'!$A$1:$S$115</definedName>
    <definedName name="_xlnm.Print_Area" localSheetId="0">'indicadores 2023'!$A$1:$S$129</definedName>
    <definedName name="_xlnm.Print_Area" localSheetId="5">'Objetivo 2 '!$A$2:$AF$32</definedName>
    <definedName name="_xlnm.Print_Area" localSheetId="16">'Servicios No conformes'!$A$2:$I$16</definedName>
    <definedName name="k" localSheetId="13">'[1]entrada datos'!$CY$6</definedName>
    <definedName name="k" localSheetId="10">'[1]entrada datos'!$CY$6</definedName>
    <definedName name="k" localSheetId="7">'[1]entrada datos'!$CY$6</definedName>
    <definedName name="k" localSheetId="3">'[2]entrada datos'!$CY$6</definedName>
    <definedName name="k" localSheetId="2">'[2]entrada datos'!$CY$6</definedName>
    <definedName name="k" localSheetId="16">'[1]entrada datos'!$CY$6</definedName>
    <definedName name="k">'[1]entrada datos'!$CY$6</definedName>
    <definedName name="l" localSheetId="13">'[1]entrada datos'!$CY$7</definedName>
    <definedName name="l" localSheetId="10">'[1]entrada datos'!$CY$7</definedName>
    <definedName name="l" localSheetId="7">'[1]entrada datos'!$CY$7</definedName>
    <definedName name="l" localSheetId="3">'[2]entrada datos'!$CY$7</definedName>
    <definedName name="l" localSheetId="2">'[2]entrada datos'!$CY$7</definedName>
    <definedName name="l" localSheetId="16">'[1]entrada datos'!$CY$7</definedName>
    <definedName name="l">'[1]entrada datos'!$CY$7</definedName>
    <definedName name="m" localSheetId="13">'[1]entrada datos'!$CY$8</definedName>
    <definedName name="m" localSheetId="10">'[1]entrada datos'!$CY$8</definedName>
    <definedName name="m" localSheetId="7">'[1]entrada datos'!$CY$8</definedName>
    <definedName name="m" localSheetId="3">'[2]entrada datos'!$CY$8</definedName>
    <definedName name="m" localSheetId="2">'[2]entrada datos'!$CY$8</definedName>
    <definedName name="m" localSheetId="16">'[1]entrada datos'!$CY$8</definedName>
    <definedName name="m">'[1]entrada datos'!$CY$8</definedName>
    <definedName name="n" localSheetId="13">'[1]entrada datos'!$CY$9</definedName>
    <definedName name="n" localSheetId="10">'[1]entrada datos'!$CY$9</definedName>
    <definedName name="n" localSheetId="7">'[1]entrada datos'!$CY$9</definedName>
    <definedName name="n" localSheetId="3">'[2]entrada datos'!$CY$9</definedName>
    <definedName name="n" localSheetId="2">'[2]entrada datos'!$CY$9</definedName>
    <definedName name="n" localSheetId="16">'[1]entrada datos'!$CY$9</definedName>
    <definedName name="n">'[1]entrada datos'!$CY$9</definedName>
    <definedName name="tAREAS" localSheetId="3">'[2]entrada datos'!$CY$8</definedName>
    <definedName name="tAREAS" localSheetId="2">'[2]entrada datos'!$CY$8</definedName>
    <definedName name="tAREAS">'[1]entrada datos'!$CY$8</definedName>
    <definedName name="_xlnm.Print_Titles" localSheetId="1">'indicadores 2022'!$A$2:$IW$6</definedName>
    <definedName name="_xlnm.Print_Titles" localSheetId="0">'indicadores 2023'!$A$2:$IW$6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5" l="1"/>
  <c r="N10" i="5"/>
  <c r="O10" i="5"/>
  <c r="P10" i="5"/>
  <c r="O11" i="5"/>
  <c r="P11" i="5"/>
  <c r="AJ92" i="40" l="1"/>
  <c r="AA19" i="14"/>
  <c r="AA20" i="14"/>
  <c r="AA21" i="14"/>
  <c r="AA22" i="14"/>
  <c r="AA23" i="14"/>
  <c r="AA24" i="14"/>
  <c r="AA25" i="14"/>
  <c r="AA26" i="14"/>
  <c r="AA27" i="14"/>
  <c r="AA28" i="14"/>
  <c r="AA29" i="14"/>
  <c r="AA30" i="14"/>
  <c r="AA31" i="14"/>
  <c r="AA32" i="14"/>
  <c r="AA33" i="14"/>
  <c r="AA18" i="14"/>
  <c r="W9" i="22"/>
  <c r="Z8" i="22"/>
  <c r="Y9" i="22" s="1"/>
  <c r="V149" i="41" l="1"/>
  <c r="Q147" i="41"/>
  <c r="X146" i="41"/>
  <c r="K146" i="41"/>
  <c r="E146" i="41"/>
  <c r="Q146" i="41" s="1"/>
  <c r="K145" i="41"/>
  <c r="E145" i="41"/>
  <c r="Q145" i="41" s="1"/>
  <c r="K144" i="41"/>
  <c r="E144" i="41"/>
  <c r="Q144" i="41" s="1"/>
  <c r="Q143" i="41"/>
  <c r="K143" i="41"/>
  <c r="E143" i="41"/>
  <c r="E142" i="41"/>
  <c r="Q142" i="41" s="1"/>
  <c r="E141" i="41"/>
  <c r="Q141" i="41" s="1"/>
  <c r="E140" i="41"/>
  <c r="Q140" i="41" s="1"/>
  <c r="Q139" i="41"/>
  <c r="Q138" i="41"/>
  <c r="Q137" i="41"/>
  <c r="E137" i="41"/>
  <c r="Q136" i="41"/>
  <c r="E136" i="41"/>
  <c r="Q135" i="41"/>
  <c r="X134" i="41"/>
  <c r="Q134" i="41"/>
  <c r="K133" i="41"/>
  <c r="E133" i="41"/>
  <c r="Q133" i="41" s="1"/>
  <c r="K132" i="41"/>
  <c r="Q132" i="41" s="1"/>
  <c r="K131" i="41"/>
  <c r="E131" i="41"/>
  <c r="Q131" i="41" s="1"/>
  <c r="AC130" i="41"/>
  <c r="AB130" i="41"/>
  <c r="Z130" i="41"/>
  <c r="Y130" i="41"/>
  <c r="K130" i="41"/>
  <c r="Q130" i="41" s="1"/>
  <c r="Q129" i="41"/>
  <c r="Q128" i="41"/>
  <c r="Q127" i="41"/>
  <c r="Q126" i="41"/>
  <c r="E125" i="41"/>
  <c r="Q125" i="41" s="1"/>
  <c r="E124" i="41"/>
  <c r="Q124" i="41" s="1"/>
  <c r="K123" i="41"/>
  <c r="E123" i="41"/>
  <c r="K122" i="41"/>
  <c r="Q122" i="41" s="1"/>
  <c r="K121" i="41"/>
  <c r="E121" i="41"/>
  <c r="K120" i="41"/>
  <c r="E120" i="41"/>
  <c r="Q120" i="41" s="1"/>
  <c r="K119" i="41"/>
  <c r="E119" i="41"/>
  <c r="Q119" i="41" s="1"/>
  <c r="P117" i="41"/>
  <c r="O117" i="41"/>
  <c r="N117" i="41"/>
  <c r="M117" i="41"/>
  <c r="L117" i="41"/>
  <c r="K117" i="41"/>
  <c r="K118" i="41" s="1"/>
  <c r="J117" i="41"/>
  <c r="I117" i="41"/>
  <c r="H117" i="41"/>
  <c r="G117" i="41"/>
  <c r="F117" i="41"/>
  <c r="E117" i="41"/>
  <c r="E116" i="41"/>
  <c r="Q116" i="41" s="1"/>
  <c r="K115" i="41"/>
  <c r="Q115" i="41" s="1"/>
  <c r="E115" i="41"/>
  <c r="E114" i="41"/>
  <c r="Q114" i="41" s="1"/>
  <c r="K113" i="41"/>
  <c r="E113" i="41"/>
  <c r="Q113" i="41" s="1"/>
  <c r="Q112" i="41"/>
  <c r="Q111" i="41"/>
  <c r="Q110" i="41"/>
  <c r="Q109" i="41"/>
  <c r="P107" i="41"/>
  <c r="O107" i="41"/>
  <c r="N107" i="41"/>
  <c r="M107" i="41"/>
  <c r="L107" i="41"/>
  <c r="K107" i="41"/>
  <c r="J107" i="41"/>
  <c r="I107" i="41"/>
  <c r="H107" i="41"/>
  <c r="G107" i="41"/>
  <c r="F107" i="41"/>
  <c r="E107" i="41"/>
  <c r="P105" i="41"/>
  <c r="O105" i="41"/>
  <c r="N105" i="41"/>
  <c r="M105" i="41"/>
  <c r="L105" i="41"/>
  <c r="K105" i="41"/>
  <c r="J105" i="41"/>
  <c r="I105" i="41"/>
  <c r="H105" i="41"/>
  <c r="G105" i="41"/>
  <c r="F105" i="41"/>
  <c r="E105" i="41"/>
  <c r="P103" i="41"/>
  <c r="O103" i="41"/>
  <c r="N103" i="41"/>
  <c r="M103" i="41"/>
  <c r="L103" i="41"/>
  <c r="K103" i="41"/>
  <c r="J103" i="41"/>
  <c r="I103" i="41"/>
  <c r="H103" i="41"/>
  <c r="G103" i="41"/>
  <c r="F103" i="41"/>
  <c r="E103" i="41"/>
  <c r="Q103" i="41" s="1"/>
  <c r="P101" i="41"/>
  <c r="O101" i="41"/>
  <c r="N101" i="41"/>
  <c r="M101" i="41"/>
  <c r="L101" i="41"/>
  <c r="K101" i="41"/>
  <c r="J101" i="41"/>
  <c r="I101" i="41"/>
  <c r="H101" i="41"/>
  <c r="G101" i="41"/>
  <c r="F101" i="41"/>
  <c r="E101" i="41"/>
  <c r="Q101" i="41" s="1"/>
  <c r="Q100" i="41"/>
  <c r="K99" i="41"/>
  <c r="Q98" i="41"/>
  <c r="K98" i="41"/>
  <c r="J98" i="41"/>
  <c r="H98" i="41"/>
  <c r="K97" i="41"/>
  <c r="E97" i="41"/>
  <c r="Q96" i="41"/>
  <c r="E95" i="41"/>
  <c r="Q94" i="41"/>
  <c r="P94" i="41"/>
  <c r="O94" i="41"/>
  <c r="N94" i="41"/>
  <c r="M94" i="41"/>
  <c r="L94" i="41"/>
  <c r="K94" i="41"/>
  <c r="K95" i="41" s="1"/>
  <c r="K93" i="41"/>
  <c r="E93" i="41"/>
  <c r="Q92" i="41"/>
  <c r="Q91" i="41"/>
  <c r="K89" i="41"/>
  <c r="H89" i="41"/>
  <c r="E89" i="41"/>
  <c r="E90" i="41" s="1"/>
  <c r="K87" i="41"/>
  <c r="K88" i="41" s="1"/>
  <c r="H87" i="41"/>
  <c r="E87" i="41"/>
  <c r="E88" i="41" s="1"/>
  <c r="Q86" i="41"/>
  <c r="Q85" i="41"/>
  <c r="E84" i="41"/>
  <c r="Q84" i="41" s="1"/>
  <c r="Q83" i="41"/>
  <c r="Q82" i="41"/>
  <c r="Q81" i="41"/>
  <c r="Q80" i="41"/>
  <c r="Q79" i="41"/>
  <c r="Q78" i="41"/>
  <c r="Q77" i="41"/>
  <c r="Q76" i="41"/>
  <c r="Q75" i="41"/>
  <c r="Q74" i="41"/>
  <c r="E74" i="41"/>
  <c r="Q73" i="41"/>
  <c r="Q72" i="41"/>
  <c r="Q71" i="41"/>
  <c r="Q70" i="41"/>
  <c r="N68" i="41"/>
  <c r="K68" i="41"/>
  <c r="H68" i="41"/>
  <c r="E68" i="41"/>
  <c r="Q67" i="41"/>
  <c r="E67" i="41"/>
  <c r="Q66" i="41"/>
  <c r="Q65" i="41"/>
  <c r="Q64" i="41"/>
  <c r="Q63" i="41"/>
  <c r="Q62" i="41"/>
  <c r="P60" i="41"/>
  <c r="O60" i="41"/>
  <c r="N60" i="41"/>
  <c r="M60" i="41"/>
  <c r="L60" i="41"/>
  <c r="K60" i="41"/>
  <c r="J60" i="41"/>
  <c r="I60" i="41"/>
  <c r="H60" i="41"/>
  <c r="G60" i="41"/>
  <c r="F60" i="41"/>
  <c r="E60" i="41"/>
  <c r="P58" i="41"/>
  <c r="O58" i="41"/>
  <c r="N58" i="41"/>
  <c r="M58" i="41"/>
  <c r="L58" i="41"/>
  <c r="K58" i="41"/>
  <c r="K59" i="41" s="1"/>
  <c r="J58" i="41"/>
  <c r="I58" i="41"/>
  <c r="H58" i="41"/>
  <c r="G58" i="41"/>
  <c r="F58" i="41"/>
  <c r="E58" i="41"/>
  <c r="P56" i="41"/>
  <c r="O56" i="41"/>
  <c r="N56" i="41"/>
  <c r="M56" i="41"/>
  <c r="L56" i="41"/>
  <c r="K56" i="41"/>
  <c r="K57" i="41" s="1"/>
  <c r="J56" i="41"/>
  <c r="I56" i="41"/>
  <c r="H56" i="41"/>
  <c r="G56" i="41"/>
  <c r="F56" i="41"/>
  <c r="E56" i="41"/>
  <c r="N54" i="41"/>
  <c r="K54" i="41"/>
  <c r="K55" i="41" s="1"/>
  <c r="H54" i="41"/>
  <c r="E54" i="41"/>
  <c r="Q54" i="41" s="1"/>
  <c r="Q53" i="41"/>
  <c r="Q52" i="41"/>
  <c r="Q51" i="41"/>
  <c r="E50" i="41"/>
  <c r="Q50" i="41" s="1"/>
  <c r="E49" i="41"/>
  <c r="Q49" i="41" s="1"/>
  <c r="E48" i="41"/>
  <c r="Q48" i="41" s="1"/>
  <c r="Q47" i="41"/>
  <c r="K46" i="41"/>
  <c r="E46" i="41"/>
  <c r="Q46" i="41" s="1"/>
  <c r="K45" i="41"/>
  <c r="E45" i="41"/>
  <c r="Q45" i="41" s="1"/>
  <c r="K44" i="41"/>
  <c r="E44" i="41"/>
  <c r="Q44" i="41" s="1"/>
  <c r="E42" i="41"/>
  <c r="Q42" i="41" s="1"/>
  <c r="K41" i="41"/>
  <c r="E41" i="41"/>
  <c r="K40" i="41"/>
  <c r="E40" i="41"/>
  <c r="K39" i="41"/>
  <c r="E39" i="41"/>
  <c r="K38" i="41"/>
  <c r="E38" i="41"/>
  <c r="Q37" i="41"/>
  <c r="Q36" i="41"/>
  <c r="E35" i="41"/>
  <c r="Q35" i="41" s="1"/>
  <c r="Q34" i="41"/>
  <c r="Q33" i="41"/>
  <c r="Q32" i="41"/>
  <c r="Q31" i="41"/>
  <c r="Q30" i="41"/>
  <c r="Q29" i="41"/>
  <c r="Q28" i="41"/>
  <c r="Q27" i="41"/>
  <c r="Q26" i="41"/>
  <c r="Q25" i="41"/>
  <c r="X24" i="41"/>
  <c r="S24" i="41"/>
  <c r="R24" i="41"/>
  <c r="K24" i="41"/>
  <c r="E24" i="41"/>
  <c r="Q24" i="41" s="1"/>
  <c r="S23" i="41"/>
  <c r="R23" i="41"/>
  <c r="Q23" i="41"/>
  <c r="S22" i="41"/>
  <c r="R22" i="41"/>
  <c r="Q22" i="41"/>
  <c r="E22" i="41"/>
  <c r="S21" i="41"/>
  <c r="R21" i="41"/>
  <c r="Q21" i="41"/>
  <c r="S20" i="41"/>
  <c r="R20" i="41"/>
  <c r="Q20" i="41"/>
  <c r="Q19" i="41"/>
  <c r="P17" i="41"/>
  <c r="O17" i="41"/>
  <c r="N17" i="41"/>
  <c r="M17" i="41"/>
  <c r="L17" i="41"/>
  <c r="K17" i="41"/>
  <c r="K18" i="41" s="1"/>
  <c r="J17" i="41"/>
  <c r="I17" i="41"/>
  <c r="H17" i="41"/>
  <c r="G17" i="41"/>
  <c r="F17" i="41"/>
  <c r="E17" i="41"/>
  <c r="K16" i="41"/>
  <c r="E16" i="41"/>
  <c r="Q16" i="41" s="1"/>
  <c r="K15" i="41"/>
  <c r="E15" i="41"/>
  <c r="K14" i="41"/>
  <c r="E14" i="41"/>
  <c r="Q13" i="41"/>
  <c r="Q12" i="41"/>
  <c r="Q11" i="41"/>
  <c r="K10" i="41"/>
  <c r="E10" i="41"/>
  <c r="Q10" i="41" s="1"/>
  <c r="K9" i="41"/>
  <c r="E9" i="41"/>
  <c r="Q9" i="41" s="1"/>
  <c r="K8" i="41"/>
  <c r="E8" i="41"/>
  <c r="Q7" i="41"/>
  <c r="E55" i="41" l="1"/>
  <c r="Q58" i="41"/>
  <c r="K61" i="41"/>
  <c r="Q15" i="41"/>
  <c r="Q41" i="41"/>
  <c r="E57" i="41"/>
  <c r="K90" i="41"/>
  <c r="E99" i="41"/>
  <c r="E104" i="41"/>
  <c r="E108" i="41"/>
  <c r="Q123" i="41"/>
  <c r="E61" i="41"/>
  <c r="K104" i="41"/>
  <c r="K108" i="41"/>
  <c r="Q38" i="41"/>
  <c r="E59" i="41"/>
  <c r="Y131" i="41"/>
  <c r="Q39" i="41"/>
  <c r="E69" i="41"/>
  <c r="K102" i="41"/>
  <c r="Q107" i="41"/>
  <c r="Q105" i="41"/>
  <c r="E118" i="41"/>
  <c r="Q121" i="41"/>
  <c r="Q8" i="41"/>
  <c r="Q14" i="41"/>
  <c r="E18" i="41"/>
  <c r="Q40" i="41"/>
  <c r="Q56" i="41"/>
  <c r="K69" i="41"/>
  <c r="E102" i="41"/>
  <c r="E106" i="41"/>
  <c r="Q90" i="41"/>
  <c r="K106" i="41"/>
  <c r="Q89" i="41"/>
  <c r="Q68" i="41"/>
  <c r="Q117" i="41"/>
  <c r="Q87" i="41"/>
  <c r="Q60" i="41"/>
  <c r="Q17" i="41"/>
  <c r="AG40" i="40" l="1"/>
  <c r="AG39" i="40"/>
  <c r="AG38" i="40"/>
  <c r="AF40" i="40"/>
  <c r="AF39" i="40"/>
  <c r="AF38" i="40"/>
  <c r="Q53" i="20" l="1"/>
  <c r="Q52" i="20"/>
  <c r="Q51" i="20"/>
  <c r="Y22" i="21" l="1"/>
  <c r="AF22" i="11"/>
  <c r="AG19" i="11"/>
  <c r="AG17" i="11"/>
  <c r="AG16" i="11"/>
  <c r="AG14" i="11"/>
  <c r="AG11" i="11"/>
  <c r="AG8" i="11"/>
  <c r="AG7" i="11"/>
  <c r="E4" i="8"/>
  <c r="AE33" i="39"/>
  <c r="AC33" i="39"/>
  <c r="AD33" i="39"/>
  <c r="F39" i="30" l="1"/>
  <c r="E39" i="30"/>
  <c r="F38" i="30"/>
  <c r="E38" i="30"/>
  <c r="AE95" i="40"/>
  <c r="AD95" i="40"/>
  <c r="AF95" i="40" s="1"/>
  <c r="E5" i="8" s="1"/>
  <c r="AH95" i="40" l="1"/>
  <c r="AF60" i="40"/>
  <c r="AG60" i="40"/>
  <c r="V170" i="20"/>
  <c r="X167" i="20"/>
  <c r="AG33" i="39"/>
  <c r="AF17" i="39"/>
  <c r="D46" i="30"/>
  <c r="E45" i="30"/>
  <c r="E41" i="30"/>
  <c r="D4" i="8"/>
  <c r="C4" i="8"/>
  <c r="F42" i="30"/>
  <c r="E42" i="30"/>
  <c r="AA33" i="39"/>
  <c r="C5" i="8" l="1"/>
  <c r="D5" i="8"/>
  <c r="Y34" i="14"/>
  <c r="AB23" i="14" l="1"/>
  <c r="AG64" i="40" l="1"/>
  <c r="AF64" i="40"/>
  <c r="AG59" i="40"/>
  <c r="AF59" i="40"/>
  <c r="AG87" i="40"/>
  <c r="AF87" i="40"/>
  <c r="AG86" i="40"/>
  <c r="AF86" i="40"/>
  <c r="AG85" i="40"/>
  <c r="AF85" i="40"/>
  <c r="K39" i="26"/>
  <c r="J39" i="26"/>
  <c r="G59" i="37" l="1"/>
  <c r="F59" i="37"/>
  <c r="C59" i="37"/>
  <c r="B4" i="37" s="1"/>
  <c r="H58" i="37"/>
  <c r="H57" i="37"/>
  <c r="H56" i="37"/>
  <c r="H55" i="37"/>
  <c r="H54" i="37"/>
  <c r="H53" i="37"/>
  <c r="H52" i="37"/>
  <c r="H51" i="37"/>
  <c r="H50" i="37"/>
  <c r="H49" i="37"/>
  <c r="H48" i="37"/>
  <c r="H47" i="37"/>
  <c r="H46" i="37"/>
  <c r="H45" i="37"/>
  <c r="H44" i="37"/>
  <c r="H43" i="37"/>
  <c r="J42" i="37"/>
  <c r="H42" i="37"/>
  <c r="H41" i="37"/>
  <c r="H39" i="37"/>
  <c r="H38" i="37"/>
  <c r="H37" i="37"/>
  <c r="H36" i="37"/>
  <c r="H35" i="37"/>
  <c r="H34" i="37"/>
  <c r="H33" i="37"/>
  <c r="H32" i="37"/>
  <c r="H31" i="37"/>
  <c r="H30" i="37"/>
  <c r="H29" i="37"/>
  <c r="H28" i="37"/>
  <c r="H27" i="37"/>
  <c r="H26" i="37"/>
  <c r="H25" i="37"/>
  <c r="H24" i="37"/>
  <c r="H23" i="37"/>
  <c r="H22" i="37"/>
  <c r="H21" i="37"/>
  <c r="H20" i="37"/>
  <c r="H19" i="37"/>
  <c r="H18" i="37"/>
  <c r="H17" i="37"/>
  <c r="H16" i="37"/>
  <c r="H15" i="37"/>
  <c r="H14" i="37"/>
  <c r="H13" i="37"/>
  <c r="H12" i="37"/>
  <c r="H11" i="37"/>
  <c r="H10" i="37"/>
  <c r="H9" i="37"/>
  <c r="H8" i="37"/>
  <c r="F3" i="37"/>
  <c r="E3" i="37"/>
  <c r="C3" i="37"/>
  <c r="H59" i="37" l="1"/>
  <c r="B3" i="37" s="1"/>
  <c r="N112" i="20"/>
  <c r="O112" i="20"/>
  <c r="P112" i="20"/>
  <c r="P110" i="20"/>
  <c r="O110" i="20"/>
  <c r="X34" i="14" l="1"/>
  <c r="AB27" i="14"/>
  <c r="AB30" i="14" l="1"/>
  <c r="K133" i="20" l="1"/>
  <c r="E133" i="20"/>
  <c r="AG63" i="40" l="1"/>
  <c r="AF63" i="40"/>
  <c r="AF62" i="40"/>
  <c r="AG62" i="40"/>
  <c r="AG61" i="40"/>
  <c r="AF61" i="40"/>
  <c r="AG58" i="40"/>
  <c r="AF58" i="40"/>
  <c r="AF57" i="40"/>
  <c r="AG57" i="40"/>
  <c r="AG56" i="40"/>
  <c r="AF56" i="40"/>
  <c r="AF77" i="40"/>
  <c r="AG77" i="40"/>
  <c r="AF78" i="40"/>
  <c r="AG78" i="40"/>
  <c r="AF79" i="40"/>
  <c r="AG79" i="40"/>
  <c r="AF80" i="40"/>
  <c r="AG80" i="40"/>
  <c r="AG74" i="40"/>
  <c r="AF74" i="40"/>
  <c r="AG73" i="40"/>
  <c r="AF73" i="40"/>
  <c r="AG72" i="40"/>
  <c r="AF72" i="40"/>
  <c r="Q92" i="20" l="1"/>
  <c r="P95" i="20"/>
  <c r="N68" i="20" l="1"/>
  <c r="E67" i="20"/>
  <c r="E49" i="20"/>
  <c r="E48" i="20"/>
  <c r="E42" i="20"/>
  <c r="E61" i="5" l="1"/>
  <c r="D61" i="5"/>
  <c r="C61" i="5"/>
  <c r="S4" i="5" s="1"/>
  <c r="E40" i="30" s="1"/>
  <c r="B61" i="5"/>
  <c r="AG29" i="40" l="1"/>
  <c r="AF29" i="40"/>
  <c r="AG28" i="40"/>
  <c r="AF28" i="40"/>
  <c r="AG27" i="40"/>
  <c r="AF27" i="40"/>
  <c r="AG26" i="40"/>
  <c r="AF26" i="40"/>
  <c r="AG25" i="40" l="1"/>
  <c r="AF25" i="40"/>
  <c r="W33" i="20" l="1"/>
  <c r="E35" i="20"/>
  <c r="K15" i="20"/>
  <c r="K14" i="20"/>
  <c r="K144" i="20" l="1"/>
  <c r="K147" i="20"/>
  <c r="K134" i="20" l="1"/>
  <c r="K9" i="20" l="1"/>
  <c r="E137" i="20" l="1"/>
  <c r="K137" i="20"/>
  <c r="AG11" i="40" l="1"/>
  <c r="AF32" i="39"/>
  <c r="AE32" i="39"/>
  <c r="AF31" i="39"/>
  <c r="AE31" i="39"/>
  <c r="AF30" i="39"/>
  <c r="AE30" i="39"/>
  <c r="AF29" i="39"/>
  <c r="AE29" i="39"/>
  <c r="AF28" i="39"/>
  <c r="AE28" i="39"/>
  <c r="AF27" i="39"/>
  <c r="AE27" i="39"/>
  <c r="AF26" i="39"/>
  <c r="AE26" i="39"/>
  <c r="AF25" i="39"/>
  <c r="AE25" i="39"/>
  <c r="AF24" i="39"/>
  <c r="AE24" i="39"/>
  <c r="AF23" i="39"/>
  <c r="AE23" i="39"/>
  <c r="AF22" i="39"/>
  <c r="AE22" i="39"/>
  <c r="AF21" i="39"/>
  <c r="AE21" i="39"/>
  <c r="AF20" i="39"/>
  <c r="AE20" i="39"/>
  <c r="AF19" i="39"/>
  <c r="AE19" i="39"/>
  <c r="AF18" i="39"/>
  <c r="AE18" i="39"/>
  <c r="AE17" i="39"/>
  <c r="AF16" i="39"/>
  <c r="AE16" i="39"/>
  <c r="AF15" i="39"/>
  <c r="AE15" i="39"/>
  <c r="AF14" i="39"/>
  <c r="AE14" i="39"/>
  <c r="AF13" i="39"/>
  <c r="AE13" i="39"/>
  <c r="AF12" i="39"/>
  <c r="AE12" i="39"/>
  <c r="AF6" i="39"/>
  <c r="AE6" i="39"/>
  <c r="AF5" i="39"/>
  <c r="AE5" i="39"/>
  <c r="AF4" i="39"/>
  <c r="AF10" i="39"/>
  <c r="AE10" i="39"/>
  <c r="AF9" i="39"/>
  <c r="AE9" i="39"/>
  <c r="E139" i="20" l="1"/>
  <c r="E138" i="20"/>
  <c r="N106" i="20"/>
  <c r="O106" i="20"/>
  <c r="P106" i="20"/>
  <c r="N95" i="20"/>
  <c r="O95" i="20"/>
  <c r="N60" i="20"/>
  <c r="O60" i="20"/>
  <c r="P60" i="20"/>
  <c r="N58" i="20"/>
  <c r="O58" i="20"/>
  <c r="P58" i="20"/>
  <c r="N56" i="20"/>
  <c r="O56" i="20"/>
  <c r="P56" i="20"/>
  <c r="N54" i="20"/>
  <c r="K41" i="20"/>
  <c r="K40" i="20"/>
  <c r="K39" i="20"/>
  <c r="K38" i="20"/>
  <c r="B32" i="27" l="1"/>
  <c r="B31" i="27"/>
  <c r="B30" i="27"/>
  <c r="B29" i="27"/>
  <c r="B28" i="27"/>
  <c r="B27" i="27"/>
  <c r="B26" i="27"/>
  <c r="B25" i="27"/>
  <c r="E22" i="27"/>
  <c r="D22" i="27"/>
  <c r="D23" i="27" s="1"/>
  <c r="B22" i="27"/>
  <c r="G21" i="27"/>
  <c r="F21" i="27"/>
  <c r="O20" i="27"/>
  <c r="G20" i="27"/>
  <c r="F20" i="27"/>
  <c r="O19" i="27"/>
  <c r="G19" i="27"/>
  <c r="F19" i="27"/>
  <c r="G18" i="27"/>
  <c r="F18" i="27"/>
  <c r="O17" i="27"/>
  <c r="G17" i="27"/>
  <c r="F17" i="27"/>
  <c r="O16" i="27"/>
  <c r="G16" i="27"/>
  <c r="F16" i="27"/>
  <c r="O15" i="27"/>
  <c r="G15" i="27"/>
  <c r="F15" i="27"/>
  <c r="G14" i="27"/>
  <c r="F14" i="27"/>
  <c r="G13" i="27"/>
  <c r="F13" i="27"/>
  <c r="G12" i="27"/>
  <c r="F12" i="27"/>
  <c r="J11" i="27"/>
  <c r="I11" i="27"/>
  <c r="K11" i="27" s="1"/>
  <c r="G11" i="27"/>
  <c r="F11" i="27"/>
  <c r="K10" i="27"/>
  <c r="G10" i="27"/>
  <c r="F10" i="27"/>
  <c r="K9" i="27"/>
  <c r="G9" i="27"/>
  <c r="F9" i="27"/>
  <c r="K8" i="27"/>
  <c r="G8" i="27"/>
  <c r="F8" i="27"/>
  <c r="F7" i="27"/>
  <c r="C7" i="27"/>
  <c r="G7" i="27" s="1"/>
  <c r="K6" i="27"/>
  <c r="G6" i="27"/>
  <c r="F6" i="27"/>
  <c r="K5" i="27"/>
  <c r="G5" i="27"/>
  <c r="F5" i="27"/>
  <c r="B33" i="27" l="1"/>
  <c r="J19" i="27"/>
  <c r="C22" i="27"/>
  <c r="G22" i="27"/>
  <c r="F22" i="27"/>
  <c r="B23" i="27"/>
  <c r="J16" i="27"/>
  <c r="J15" i="27"/>
  <c r="J17" i="27"/>
  <c r="M19" i="27"/>
  <c r="M17" i="27"/>
  <c r="M15" i="27"/>
  <c r="M16" i="27"/>
  <c r="F23" i="27"/>
  <c r="P19" i="27" s="1"/>
  <c r="P15" i="27" l="1"/>
  <c r="P16" i="27"/>
  <c r="P17" i="27"/>
  <c r="H15" i="16" l="1"/>
  <c r="G15" i="16"/>
  <c r="C83" i="38" l="1"/>
  <c r="G82" i="38"/>
  <c r="F82" i="38"/>
  <c r="H80" i="38"/>
  <c r="H82" i="38" s="1"/>
  <c r="I80" i="38" s="1"/>
  <c r="G79" i="38"/>
  <c r="F79" i="38"/>
  <c r="H78" i="38"/>
  <c r="H79" i="38" s="1"/>
  <c r="G77" i="38"/>
  <c r="F77" i="38"/>
  <c r="H76" i="38"/>
  <c r="H77" i="38" s="1"/>
  <c r="G75" i="38"/>
  <c r="F75" i="38"/>
  <c r="H73" i="38"/>
  <c r="H75" i="38" s="1"/>
  <c r="G72" i="38"/>
  <c r="F72" i="38"/>
  <c r="H71" i="38"/>
  <c r="H72" i="38" s="1"/>
  <c r="I71" i="38" s="1"/>
  <c r="G70" i="38"/>
  <c r="F70" i="38"/>
  <c r="H69" i="38"/>
  <c r="H68" i="38"/>
  <c r="H70" i="38" s="1"/>
  <c r="G67" i="38"/>
  <c r="F67" i="38"/>
  <c r="H66" i="38"/>
  <c r="H67" i="38" s="1"/>
  <c r="G65" i="38"/>
  <c r="F65" i="38"/>
  <c r="H64" i="38"/>
  <c r="H65" i="38" s="1"/>
  <c r="G63" i="38"/>
  <c r="F63" i="38"/>
  <c r="H62" i="38"/>
  <c r="H61" i="38"/>
  <c r="H60" i="38"/>
  <c r="G59" i="38"/>
  <c r="F59" i="38"/>
  <c r="H58" i="38"/>
  <c r="H59" i="38" s="1"/>
  <c r="I58" i="38" s="1"/>
  <c r="G57" i="38"/>
  <c r="F57" i="38"/>
  <c r="H56" i="38"/>
  <c r="H57" i="38" s="1"/>
  <c r="G55" i="38"/>
  <c r="F55" i="38"/>
  <c r="H54" i="38"/>
  <c r="H55" i="38" s="1"/>
  <c r="G53" i="38"/>
  <c r="F53" i="38"/>
  <c r="H52" i="38"/>
  <c r="H53" i="38" s="1"/>
  <c r="I52" i="38" s="1"/>
  <c r="G51" i="38"/>
  <c r="F51" i="38"/>
  <c r="H50" i="38"/>
  <c r="H51" i="38" s="1"/>
  <c r="G49" i="38"/>
  <c r="F49" i="38"/>
  <c r="H48" i="38"/>
  <c r="H49" i="38" s="1"/>
  <c r="G47" i="38"/>
  <c r="F47" i="38"/>
  <c r="H46" i="38"/>
  <c r="H47" i="38" s="1"/>
  <c r="G45" i="38"/>
  <c r="F45" i="38"/>
  <c r="H44" i="38"/>
  <c r="H43" i="38"/>
  <c r="G42" i="38"/>
  <c r="F42" i="38"/>
  <c r="H40" i="38"/>
  <c r="H42" i="38" s="1"/>
  <c r="I40" i="38" s="1"/>
  <c r="G39" i="38"/>
  <c r="F39" i="38"/>
  <c r="H38" i="38"/>
  <c r="H37" i="38"/>
  <c r="H30" i="38"/>
  <c r="G30" i="38"/>
  <c r="C30" i="38"/>
  <c r="B4" i="38" s="1"/>
  <c r="I29" i="38"/>
  <c r="I28" i="38"/>
  <c r="I27" i="38"/>
  <c r="I26" i="38"/>
  <c r="I25" i="38"/>
  <c r="I23" i="38"/>
  <c r="I22" i="38"/>
  <c r="I21" i="38"/>
  <c r="I20" i="38"/>
  <c r="I19" i="38"/>
  <c r="I18" i="38"/>
  <c r="I17" i="38"/>
  <c r="I16" i="38"/>
  <c r="I14" i="38"/>
  <c r="I12" i="38"/>
  <c r="J12" i="38" s="1"/>
  <c r="I11" i="38"/>
  <c r="I10" i="38"/>
  <c r="J10" i="38" s="1"/>
  <c r="I9" i="38"/>
  <c r="R3" i="38"/>
  <c r="Q3" i="38"/>
  <c r="P3" i="38"/>
  <c r="O3" i="38"/>
  <c r="M3" i="38"/>
  <c r="L3" i="38"/>
  <c r="K3" i="38"/>
  <c r="J3" i="38"/>
  <c r="I3" i="38"/>
  <c r="H3" i="38"/>
  <c r="G3" i="38"/>
  <c r="F3" i="38"/>
  <c r="E3" i="38"/>
  <c r="D3" i="38"/>
  <c r="I78" i="38" l="1"/>
  <c r="I56" i="38"/>
  <c r="I76" i="38"/>
  <c r="I48" i="38"/>
  <c r="H45" i="38"/>
  <c r="I43" i="38" s="1"/>
  <c r="I64" i="38"/>
  <c r="I54" i="38"/>
  <c r="G83" i="38"/>
  <c r="I66" i="38"/>
  <c r="I30" i="38"/>
  <c r="K30" i="38" s="1"/>
  <c r="I68" i="38"/>
  <c r="H63" i="38"/>
  <c r="I60" i="38" s="1"/>
  <c r="F83" i="38"/>
  <c r="J30" i="38"/>
  <c r="B3" i="38" s="1"/>
  <c r="I50" i="38"/>
  <c r="I73" i="38"/>
  <c r="I46" i="38"/>
  <c r="H39" i="38"/>
  <c r="AG94" i="40"/>
  <c r="AF94" i="40"/>
  <c r="AG93" i="40"/>
  <c r="AF93" i="40"/>
  <c r="AG88" i="40"/>
  <c r="AF88" i="40"/>
  <c r="AG82" i="40"/>
  <c r="AF82" i="40"/>
  <c r="AG76" i="40"/>
  <c r="AF76" i="40"/>
  <c r="AG75" i="40"/>
  <c r="AF75" i="40"/>
  <c r="AG67" i="40"/>
  <c r="AF67" i="40"/>
  <c r="AG54" i="40"/>
  <c r="AF54" i="40"/>
  <c r="AG53" i="40"/>
  <c r="AF53" i="40"/>
  <c r="AG50" i="40"/>
  <c r="AF50" i="40"/>
  <c r="AG46" i="40"/>
  <c r="AF46" i="40"/>
  <c r="AG45" i="40"/>
  <c r="AF45" i="40"/>
  <c r="AG44" i="40"/>
  <c r="AF44" i="40"/>
  <c r="AG43" i="40"/>
  <c r="AF43" i="40"/>
  <c r="AG42" i="40"/>
  <c r="AF42" i="40"/>
  <c r="AG41" i="40"/>
  <c r="AF41" i="40"/>
  <c r="AG37" i="40"/>
  <c r="AF37" i="40"/>
  <c r="AG36" i="40"/>
  <c r="AF36" i="40"/>
  <c r="AG35" i="40"/>
  <c r="AF35" i="40"/>
  <c r="AG34" i="40"/>
  <c r="AF34" i="40"/>
  <c r="AG33" i="40"/>
  <c r="AF33" i="40"/>
  <c r="AG22" i="40"/>
  <c r="AF22" i="40"/>
  <c r="AG12" i="40"/>
  <c r="AF12" i="40"/>
  <c r="AG92" i="40"/>
  <c r="AF92" i="40"/>
  <c r="AG91" i="40"/>
  <c r="AF91" i="40"/>
  <c r="AG90" i="40"/>
  <c r="AF90" i="40"/>
  <c r="AG89" i="40"/>
  <c r="AF89" i="40"/>
  <c r="AG81" i="40"/>
  <c r="AF81" i="40"/>
  <c r="AG71" i="40"/>
  <c r="AF71" i="40"/>
  <c r="AG70" i="40"/>
  <c r="AF70" i="40"/>
  <c r="AG69" i="40"/>
  <c r="AF69" i="40"/>
  <c r="AG55" i="40"/>
  <c r="AF55" i="40"/>
  <c r="AG49" i="40"/>
  <c r="AF49" i="40"/>
  <c r="AG47" i="40"/>
  <c r="AF47" i="40"/>
  <c r="AG32" i="40"/>
  <c r="AF32" i="40"/>
  <c r="AG31" i="40"/>
  <c r="AF31" i="40"/>
  <c r="AG30" i="40"/>
  <c r="AF30" i="40"/>
  <c r="AG23" i="40"/>
  <c r="AF23" i="40"/>
  <c r="AG21" i="40"/>
  <c r="AF21" i="40"/>
  <c r="AG20" i="40"/>
  <c r="AF20" i="40"/>
  <c r="AG19" i="40"/>
  <c r="AF19" i="40"/>
  <c r="AG18" i="40"/>
  <c r="AF18" i="40"/>
  <c r="AG7" i="40"/>
  <c r="AF7" i="40"/>
  <c r="AG6" i="40"/>
  <c r="AF6" i="40"/>
  <c r="AG10" i="40"/>
  <c r="AF10" i="40"/>
  <c r="AF11" i="40"/>
  <c r="AE4" i="39"/>
  <c r="K8" i="20"/>
  <c r="K10" i="20"/>
  <c r="M25" i="23"/>
  <c r="L25" i="23"/>
  <c r="J25" i="23"/>
  <c r="I25" i="23"/>
  <c r="G25" i="23"/>
  <c r="F25" i="23"/>
  <c r="D25" i="23"/>
  <c r="C25" i="23"/>
  <c r="K24" i="23"/>
  <c r="H24" i="23"/>
  <c r="K23" i="23"/>
  <c r="E23" i="23"/>
  <c r="H23" i="23" s="1"/>
  <c r="K22" i="23"/>
  <c r="N22" i="23" s="1"/>
  <c r="K21" i="23"/>
  <c r="E21" i="23"/>
  <c r="H21" i="23" s="1"/>
  <c r="K20" i="23"/>
  <c r="E20" i="23"/>
  <c r="K19" i="23"/>
  <c r="E19" i="23"/>
  <c r="A19" i="23"/>
  <c r="A20" i="23" s="1"/>
  <c r="A21" i="23" s="1"/>
  <c r="A22" i="23" s="1"/>
  <c r="A23" i="23" s="1"/>
  <c r="A24" i="23" s="1"/>
  <c r="K18" i="23"/>
  <c r="N18" i="23" s="1"/>
  <c r="E18" i="23"/>
  <c r="H18" i="23" s="1"/>
  <c r="K17" i="23"/>
  <c r="E17" i="23"/>
  <c r="H17" i="23" s="1"/>
  <c r="K16" i="23"/>
  <c r="N16" i="23" s="1"/>
  <c r="E16" i="23"/>
  <c r="H16" i="23" s="1"/>
  <c r="K15" i="23"/>
  <c r="E15" i="23"/>
  <c r="H15" i="23" s="1"/>
  <c r="A15" i="23"/>
  <c r="A16" i="23" s="1"/>
  <c r="K14" i="23"/>
  <c r="E14" i="23"/>
  <c r="K13" i="23"/>
  <c r="N13" i="23" s="1"/>
  <c r="E13" i="23"/>
  <c r="H13" i="23" s="1"/>
  <c r="K12" i="23"/>
  <c r="E12" i="23"/>
  <c r="H12" i="23" s="1"/>
  <c r="K11" i="23"/>
  <c r="E11" i="23"/>
  <c r="H11" i="23" s="1"/>
  <c r="K10" i="23"/>
  <c r="E10" i="23"/>
  <c r="K9" i="23"/>
  <c r="N9" i="23" s="1"/>
  <c r="E9" i="23"/>
  <c r="K8" i="23"/>
  <c r="N8" i="23" s="1"/>
  <c r="E8" i="23"/>
  <c r="K7" i="23"/>
  <c r="H7" i="23"/>
  <c r="E7" i="23"/>
  <c r="A7" i="23"/>
  <c r="K6" i="23"/>
  <c r="E6" i="23"/>
  <c r="H6" i="23" s="1"/>
  <c r="A6" i="23"/>
  <c r="K5" i="23"/>
  <c r="E5" i="23"/>
  <c r="H83" i="38" l="1"/>
  <c r="I83" i="38" s="1"/>
  <c r="K25" i="23"/>
  <c r="N25" i="23" s="1"/>
  <c r="E25" i="23"/>
  <c r="H25" i="23" s="1"/>
  <c r="I37" i="38"/>
  <c r="E154" i="20" l="1"/>
  <c r="AB18" i="14" l="1"/>
  <c r="AB24" i="14"/>
  <c r="AB29" i="14"/>
  <c r="AB26" i="14"/>
  <c r="AB20" i="14"/>
  <c r="AB33" i="14"/>
  <c r="AB32" i="14"/>
  <c r="AB31" i="14"/>
  <c r="Q160" i="20" l="1"/>
  <c r="Q159" i="20"/>
  <c r="Q154" i="20"/>
  <c r="Q152" i="20"/>
  <c r="Q151" i="20"/>
  <c r="Q150" i="20"/>
  <c r="Q149" i="20"/>
  <c r="Q148" i="20"/>
  <c r="Q144" i="20"/>
  <c r="Q143" i="20"/>
  <c r="Q142" i="20"/>
  <c r="Q141" i="20"/>
  <c r="Q140" i="20"/>
  <c r="Q139" i="20"/>
  <c r="Q138" i="20"/>
  <c r="Q137" i="20"/>
  <c r="Q101" i="20"/>
  <c r="Q97" i="20"/>
  <c r="Q93" i="20"/>
  <c r="Q91" i="20"/>
  <c r="Q86" i="20"/>
  <c r="Q85" i="20"/>
  <c r="Q83" i="20"/>
  <c r="Q82" i="20"/>
  <c r="Q81" i="20"/>
  <c r="Q80" i="20"/>
  <c r="Q79" i="20"/>
  <c r="Q78" i="20"/>
  <c r="Q77" i="20"/>
  <c r="Q76" i="20"/>
  <c r="Q75" i="20"/>
  <c r="Q67" i="20"/>
  <c r="Q66" i="20"/>
  <c r="Q65" i="20"/>
  <c r="Q64" i="20"/>
  <c r="Q63" i="20"/>
  <c r="Q62" i="20"/>
  <c r="Q49" i="20"/>
  <c r="Q48" i="20"/>
  <c r="Q47" i="20"/>
  <c r="Q42" i="20"/>
  <c r="Q37" i="20"/>
  <c r="Q36" i="20"/>
  <c r="Q35" i="20"/>
  <c r="Q34" i="20"/>
  <c r="Q33" i="20"/>
  <c r="Q32" i="20"/>
  <c r="Q31" i="20"/>
  <c r="Q30" i="20"/>
  <c r="Q29" i="20"/>
  <c r="Q28" i="20"/>
  <c r="Q27" i="20"/>
  <c r="Q26" i="20"/>
  <c r="Q25" i="20"/>
  <c r="Q23" i="20"/>
  <c r="Q21" i="20"/>
  <c r="Q20" i="20"/>
  <c r="S24" i="20" l="1"/>
  <c r="R24" i="20"/>
  <c r="S23" i="20"/>
  <c r="R23" i="20"/>
  <c r="S22" i="20"/>
  <c r="R22" i="20"/>
  <c r="S21" i="20"/>
  <c r="R21" i="20"/>
  <c r="S20" i="20"/>
  <c r="R20" i="20"/>
  <c r="Q13" i="20"/>
  <c r="Q12" i="20"/>
  <c r="Q11" i="20"/>
  <c r="E50" i="20"/>
  <c r="Q50" i="20" s="1"/>
  <c r="E46" i="20" l="1"/>
  <c r="K46" i="20" l="1"/>
  <c r="Q46" i="20" s="1"/>
  <c r="E45" i="20"/>
  <c r="K45" i="20"/>
  <c r="K44" i="20"/>
  <c r="E44" i="20"/>
  <c r="Q44" i="20" s="1"/>
  <c r="Q45" i="20" l="1"/>
  <c r="K167" i="20"/>
  <c r="K166" i="20"/>
  <c r="K165" i="20"/>
  <c r="K164" i="20"/>
  <c r="E162" i="20"/>
  <c r="Q162" i="20" s="1"/>
  <c r="K146" i="20"/>
  <c r="Q146" i="20" s="1"/>
  <c r="K145" i="20"/>
  <c r="E153" i="20"/>
  <c r="Q153" i="20" s="1"/>
  <c r="K136" i="20"/>
  <c r="Q136" i="20" s="1"/>
  <c r="K135" i="20"/>
  <c r="N131" i="20"/>
  <c r="O131" i="20"/>
  <c r="P131" i="20"/>
  <c r="E130" i="20"/>
  <c r="Q130" i="20" s="1"/>
  <c r="K120" i="20"/>
  <c r="E119" i="20"/>
  <c r="Q119" i="20" s="1"/>
  <c r="K118" i="20"/>
  <c r="X24" i="20" l="1"/>
  <c r="K24" i="20"/>
  <c r="E22" i="20"/>
  <c r="Q22" i="20" s="1"/>
  <c r="O17" i="20"/>
  <c r="P17" i="20"/>
  <c r="K16" i="20"/>
  <c r="M106" i="20"/>
  <c r="L106" i="20"/>
  <c r="K106" i="20"/>
  <c r="J106" i="20"/>
  <c r="I106" i="20"/>
  <c r="H106" i="20"/>
  <c r="G106" i="20"/>
  <c r="F106" i="20"/>
  <c r="E106" i="20"/>
  <c r="Q106" i="20" l="1"/>
  <c r="N108" i="20"/>
  <c r="O108" i="20"/>
  <c r="P108" i="20"/>
  <c r="K107" i="20" l="1"/>
  <c r="E107" i="20"/>
  <c r="K98" i="20"/>
  <c r="E98" i="20"/>
  <c r="E96" i="20"/>
  <c r="K94" i="20"/>
  <c r="E94" i="20"/>
  <c r="AL101" i="40" l="1"/>
  <c r="AM100" i="40" s="1"/>
  <c r="AC95" i="40"/>
  <c r="AB95" i="40"/>
  <c r="AA95" i="40"/>
  <c r="Z95" i="40"/>
  <c r="Y95" i="40"/>
  <c r="X95" i="40"/>
  <c r="U95" i="40"/>
  <c r="T95" i="40"/>
  <c r="S95" i="40"/>
  <c r="R95" i="40"/>
  <c r="AG84" i="40"/>
  <c r="AF84" i="40"/>
  <c r="AG83" i="40"/>
  <c r="AF83" i="40"/>
  <c r="AG24" i="40"/>
  <c r="AF24" i="40"/>
  <c r="AG13" i="40"/>
  <c r="AF13" i="40"/>
  <c r="AJ41" i="39"/>
  <c r="AK38" i="39" s="1"/>
  <c r="AB33" i="39"/>
  <c r="Z33" i="39"/>
  <c r="Y33" i="39"/>
  <c r="X33" i="39"/>
  <c r="W33" i="39"/>
  <c r="U33" i="39"/>
  <c r="T33" i="39"/>
  <c r="S33" i="39"/>
  <c r="R33" i="39"/>
  <c r="Q33" i="39"/>
  <c r="P33" i="39"/>
  <c r="O33" i="39"/>
  <c r="N33" i="39"/>
  <c r="M33" i="39"/>
  <c r="L33" i="39"/>
  <c r="K33" i="39"/>
  <c r="J33" i="39"/>
  <c r="G33" i="39"/>
  <c r="F28" i="39"/>
  <c r="AF11" i="39"/>
  <c r="AF8" i="39"/>
  <c r="AF7" i="39"/>
  <c r="AM97" i="40" l="1"/>
  <c r="AK39" i="39"/>
  <c r="AK40" i="39"/>
  <c r="AM98" i="40"/>
  <c r="AM99" i="40"/>
  <c r="AK37" i="39"/>
  <c r="AM101" i="40" l="1"/>
  <c r="AK41" i="39"/>
  <c r="N17" i="20"/>
  <c r="T5" i="5" l="1"/>
  <c r="T4" i="5"/>
  <c r="S5" i="5"/>
  <c r="F41" i="30" l="1"/>
  <c r="F40" i="30"/>
  <c r="AB25" i="14"/>
  <c r="AB19" i="14"/>
  <c r="AB21" i="14"/>
  <c r="AB22" i="14"/>
  <c r="AB28" i="14"/>
  <c r="K68" i="20" l="1"/>
  <c r="M131" i="20" l="1"/>
  <c r="K112" i="20"/>
  <c r="L112" i="20"/>
  <c r="M112" i="20"/>
  <c r="K110" i="20"/>
  <c r="L110" i="20"/>
  <c r="M110" i="20"/>
  <c r="N110" i="20"/>
  <c r="M108" i="20"/>
  <c r="K95" i="20"/>
  <c r="L95" i="20"/>
  <c r="M95" i="20"/>
  <c r="K111" i="20" l="1"/>
  <c r="Q95" i="20"/>
  <c r="K96" i="20"/>
  <c r="K113" i="20"/>
  <c r="E89" i="20"/>
  <c r="K87" i="20"/>
  <c r="H89" i="20"/>
  <c r="K89" i="20"/>
  <c r="K54" i="20"/>
  <c r="K55" i="20" s="1"/>
  <c r="Q89" i="20" l="1"/>
  <c r="H54" i="20"/>
  <c r="E54" i="20"/>
  <c r="L56" i="20"/>
  <c r="L58" i="20"/>
  <c r="M58" i="20"/>
  <c r="L60" i="20"/>
  <c r="M60" i="20"/>
  <c r="M56" i="20"/>
  <c r="M17" i="20"/>
  <c r="E55" i="20" l="1"/>
  <c r="Q54" i="20"/>
  <c r="L131" i="20"/>
  <c r="K108" i="20" l="1"/>
  <c r="L108" i="20"/>
  <c r="L17" i="20"/>
  <c r="K109" i="20" l="1"/>
  <c r="R11" i="5"/>
  <c r="R10" i="5"/>
  <c r="C3" i="8" s="1"/>
  <c r="C6" i="8" s="1"/>
  <c r="I112" i="20" l="1"/>
  <c r="H112" i="20"/>
  <c r="G112" i="20"/>
  <c r="F112" i="20"/>
  <c r="H99" i="20" l="1"/>
  <c r="J99" i="20"/>
  <c r="K99" i="20"/>
  <c r="Q99" i="20" l="1"/>
  <c r="K100" i="20"/>
  <c r="E100" i="20"/>
  <c r="K131" i="20"/>
  <c r="K132" i="20" s="1"/>
  <c r="E163" i="20"/>
  <c r="Q163" i="20" s="1"/>
  <c r="E161" i="20"/>
  <c r="Q161" i="20" s="1"/>
  <c r="E147" i="20"/>
  <c r="Q147" i="20" s="1"/>
  <c r="E145" i="20"/>
  <c r="Q145" i="20" s="1"/>
  <c r="E135" i="20"/>
  <c r="Q135" i="20" s="1"/>
  <c r="E134" i="20"/>
  <c r="Q134" i="20" s="1"/>
  <c r="J60" i="20"/>
  <c r="K60" i="20"/>
  <c r="K61" i="20" s="1"/>
  <c r="K58" i="20"/>
  <c r="K59" i="20" s="1"/>
  <c r="K56" i="20"/>
  <c r="K57" i="20" s="1"/>
  <c r="E166" i="20" l="1"/>
  <c r="Q166" i="20" s="1"/>
  <c r="W165" i="20"/>
  <c r="E167" i="20"/>
  <c r="Q167" i="20" s="1"/>
  <c r="E165" i="20"/>
  <c r="Q165" i="20" s="1"/>
  <c r="E164" i="20"/>
  <c r="Q164" i="20" s="1"/>
  <c r="H87" i="20" l="1"/>
  <c r="E87" i="20"/>
  <c r="Q87" i="20" s="1"/>
  <c r="I60" i="20" l="1"/>
  <c r="J56" i="20"/>
  <c r="I56" i="20"/>
  <c r="J58" i="20"/>
  <c r="I58" i="20"/>
  <c r="E84" i="20" l="1"/>
  <c r="Q84" i="20" s="1"/>
  <c r="E120" i="20" l="1"/>
  <c r="Q120" i="20" s="1"/>
  <c r="E118" i="20"/>
  <c r="Q118" i="20" s="1"/>
  <c r="J112" i="20"/>
  <c r="E112" i="20"/>
  <c r="H110" i="20"/>
  <c r="G110" i="20"/>
  <c r="F110" i="20"/>
  <c r="E110" i="20"/>
  <c r="I110" i="20"/>
  <c r="J110" i="20"/>
  <c r="E108" i="20"/>
  <c r="F108" i="20"/>
  <c r="G108" i="20"/>
  <c r="H108" i="20"/>
  <c r="I108" i="20"/>
  <c r="J108" i="20"/>
  <c r="K90" i="20"/>
  <c r="E90" i="20"/>
  <c r="K69" i="20"/>
  <c r="K88" i="20"/>
  <c r="E88" i="20"/>
  <c r="Q90" i="20" l="1"/>
  <c r="Q110" i="20"/>
  <c r="E111" i="20"/>
  <c r="Q112" i="20"/>
  <c r="E113" i="20"/>
  <c r="Q108" i="20"/>
  <c r="E109" i="20"/>
  <c r="H68" i="20"/>
  <c r="K17" i="20" l="1"/>
  <c r="K18" i="20" s="1"/>
  <c r="E15" i="20"/>
  <c r="Q15" i="20" s="1"/>
  <c r="E9" i="20" l="1"/>
  <c r="Q9" i="20" s="1"/>
  <c r="E14" i="20" l="1"/>
  <c r="Q14" i="20" s="1"/>
  <c r="Z34" i="14" l="1"/>
  <c r="W34" i="14"/>
  <c r="V34" i="14"/>
  <c r="U34" i="14"/>
  <c r="AA34" i="14"/>
  <c r="E74" i="20"/>
  <c r="Q74" i="20" s="1"/>
  <c r="E68" i="20"/>
  <c r="F60" i="20"/>
  <c r="G60" i="20"/>
  <c r="H60" i="20"/>
  <c r="F58" i="20"/>
  <c r="G58" i="20"/>
  <c r="H58" i="20"/>
  <c r="E39" i="20"/>
  <c r="Q39" i="20" s="1"/>
  <c r="E40" i="20"/>
  <c r="Q40" i="20" s="1"/>
  <c r="F56" i="20"/>
  <c r="G56" i="20"/>
  <c r="H56" i="20"/>
  <c r="E41" i="20"/>
  <c r="Q41" i="20" s="1"/>
  <c r="E38" i="20"/>
  <c r="Q38" i="20" s="1"/>
  <c r="E69" i="20" l="1"/>
  <c r="Q68" i="20"/>
  <c r="AC34" i="14"/>
  <c r="AB34" i="14" s="1"/>
  <c r="E24" i="20"/>
  <c r="Q24" i="20" s="1"/>
  <c r="G17" i="20"/>
  <c r="H17" i="20"/>
  <c r="I17" i="20"/>
  <c r="J17" i="20"/>
  <c r="E16" i="20"/>
  <c r="Q16" i="20" s="1"/>
  <c r="E8" i="20"/>
  <c r="E10" i="20"/>
  <c r="Q10" i="20" s="1"/>
  <c r="Q133" i="20"/>
  <c r="J131" i="20"/>
  <c r="I131" i="20"/>
  <c r="H131" i="20"/>
  <c r="G131" i="20"/>
  <c r="F131" i="20"/>
  <c r="F72" i="11" l="1"/>
  <c r="E72" i="11"/>
  <c r="D72" i="11"/>
  <c r="C72" i="11"/>
  <c r="AE22" i="11"/>
  <c r="AD22" i="11"/>
  <c r="AC22" i="11"/>
  <c r="AB22" i="11"/>
  <c r="AA22" i="11"/>
  <c r="Z22" i="11"/>
  <c r="Y22" i="11"/>
  <c r="X22" i="11"/>
  <c r="W22" i="11"/>
  <c r="V22" i="11"/>
  <c r="U22" i="11"/>
  <c r="T22" i="11"/>
  <c r="S22" i="11"/>
  <c r="R22" i="11"/>
  <c r="Q22" i="11"/>
  <c r="P22" i="11"/>
  <c r="O22" i="11"/>
  <c r="N22" i="11"/>
  <c r="N24" i="11" s="1"/>
  <c r="L22" i="11"/>
  <c r="L24" i="11" s="1"/>
  <c r="J22" i="11"/>
  <c r="J24" i="11" s="1"/>
  <c r="I22" i="11"/>
  <c r="H22" i="11"/>
  <c r="G22" i="11"/>
  <c r="F22" i="11"/>
  <c r="E22" i="11"/>
  <c r="D22" i="11"/>
  <c r="C22" i="11"/>
  <c r="C24" i="11" s="1"/>
  <c r="AG21" i="11"/>
  <c r="AG20" i="11"/>
  <c r="AG18" i="11"/>
  <c r="AG15" i="11"/>
  <c r="AG13" i="11"/>
  <c r="AG12" i="11"/>
  <c r="AG10" i="11"/>
  <c r="AG9" i="11"/>
  <c r="AG6" i="11"/>
  <c r="AG5" i="11"/>
  <c r="AG4" i="11"/>
  <c r="P24" i="11" l="1"/>
  <c r="X24" i="11"/>
  <c r="R24" i="11"/>
  <c r="F24" i="11"/>
  <c r="T24" i="11"/>
  <c r="H24" i="11"/>
  <c r="V24" i="11"/>
  <c r="Z24" i="11"/>
  <c r="D24" i="11"/>
  <c r="AG24" i="11" s="1"/>
  <c r="L52" i="26" l="1"/>
  <c r="I52" i="26"/>
  <c r="F52" i="26"/>
  <c r="D40" i="26" s="1"/>
  <c r="E40" i="26" s="1"/>
  <c r="C52" i="26"/>
  <c r="D39" i="26" s="1"/>
  <c r="C44" i="26"/>
  <c r="E43" i="26"/>
  <c r="D42" i="26"/>
  <c r="D41" i="26"/>
  <c r="E41" i="26" s="1"/>
  <c r="D44" i="26" l="1"/>
  <c r="E44" i="26" s="1"/>
  <c r="E39" i="26"/>
  <c r="E131" i="20" l="1"/>
  <c r="E60" i="20"/>
  <c r="E61" i="20" l="1"/>
  <c r="Q60" i="20"/>
  <c r="Q131" i="20"/>
  <c r="E132" i="20"/>
  <c r="E58" i="20"/>
  <c r="E56" i="20"/>
  <c r="E57" i="20" l="1"/>
  <c r="Q56" i="20"/>
  <c r="E59" i="20"/>
  <c r="Q58" i="20"/>
  <c r="F17" i="20"/>
  <c r="E17" i="20"/>
  <c r="E18" i="20" l="1"/>
  <c r="Q17" i="20"/>
  <c r="X22" i="21"/>
  <c r="R4" i="5" l="1"/>
  <c r="R5" i="5"/>
  <c r="Q4" i="5"/>
  <c r="Q5" i="5"/>
  <c r="W22" i="21" l="1"/>
  <c r="AB144" i="20" l="1"/>
  <c r="AC144" i="20"/>
  <c r="Y144" i="20"/>
  <c r="Z144" i="20"/>
  <c r="U8" i="22"/>
  <c r="V8" i="22"/>
  <c r="X148" i="20"/>
  <c r="C33" i="26"/>
  <c r="Z10" i="26"/>
  <c r="N22" i="21"/>
  <c r="M22" i="21"/>
  <c r="L22" i="21"/>
  <c r="K22" i="21"/>
  <c r="J22" i="21"/>
  <c r="I22" i="21"/>
  <c r="H22" i="21"/>
  <c r="G22" i="21"/>
  <c r="F22" i="21"/>
  <c r="E22" i="21"/>
  <c r="D22" i="21"/>
  <c r="O22" i="21"/>
  <c r="P22" i="21"/>
  <c r="Q22" i="21"/>
  <c r="R22" i="21"/>
  <c r="S22" i="21"/>
  <c r="T22" i="21"/>
  <c r="V22" i="21"/>
  <c r="U22" i="21"/>
  <c r="I20" i="16"/>
  <c r="G20" i="16"/>
  <c r="T8" i="22"/>
  <c r="S8" i="22"/>
  <c r="O8" i="22"/>
  <c r="N8" i="22"/>
  <c r="M8" i="22"/>
  <c r="L8" i="22"/>
  <c r="K8" i="22"/>
  <c r="J8" i="22"/>
  <c r="I8" i="22"/>
  <c r="H8" i="22"/>
  <c r="G8" i="22"/>
  <c r="F8" i="22"/>
  <c r="E8" i="22"/>
  <c r="D8" i="22"/>
  <c r="C8" i="22"/>
  <c r="B8" i="22"/>
  <c r="Q7" i="22"/>
  <c r="P7" i="22"/>
  <c r="Q6" i="22"/>
  <c r="P6" i="22"/>
  <c r="Q5" i="22"/>
  <c r="P5" i="22"/>
  <c r="E50" i="30"/>
  <c r="D50" i="30"/>
  <c r="E46" i="30"/>
  <c r="W34" i="30"/>
  <c r="Q24" i="30" s="1"/>
  <c r="R34" i="30"/>
  <c r="P34" i="30"/>
  <c r="N34" i="30"/>
  <c r="M24" i="30" s="1"/>
  <c r="L34" i="30"/>
  <c r="J34" i="30"/>
  <c r="K24" i="30" s="1"/>
  <c r="H34" i="30"/>
  <c r="J24" i="30" s="1"/>
  <c r="F34" i="30"/>
  <c r="I24" i="30" s="1"/>
  <c r="D34" i="30"/>
  <c r="H24" i="30" s="1"/>
  <c r="AC33" i="30"/>
  <c r="AD33" i="30" s="1"/>
  <c r="AA33" i="30"/>
  <c r="AB33" i="30" s="1"/>
  <c r="Z33" i="30"/>
  <c r="X33" i="30"/>
  <c r="V33" i="30"/>
  <c r="T33" i="30"/>
  <c r="Q33" i="30"/>
  <c r="O33" i="30"/>
  <c r="M33" i="30"/>
  <c r="K33" i="30"/>
  <c r="I33" i="30"/>
  <c r="G33" i="30"/>
  <c r="E33" i="30"/>
  <c r="AC32" i="30"/>
  <c r="AD32" i="30" s="1"/>
  <c r="AA32" i="30"/>
  <c r="AB32" i="30" s="1"/>
  <c r="Z32" i="30"/>
  <c r="X32" i="30"/>
  <c r="V32" i="30"/>
  <c r="T32" i="30"/>
  <c r="Q32" i="30"/>
  <c r="O32" i="30"/>
  <c r="M32" i="30"/>
  <c r="K32" i="30"/>
  <c r="I32" i="30"/>
  <c r="G32" i="30"/>
  <c r="E32" i="30"/>
  <c r="AC31" i="30"/>
  <c r="AD31" i="30" s="1"/>
  <c r="AA31" i="30"/>
  <c r="AB31" i="30" s="1"/>
  <c r="Z31" i="30"/>
  <c r="X31" i="30"/>
  <c r="V31" i="30"/>
  <c r="T31" i="30"/>
  <c r="Q31" i="30"/>
  <c r="Q34" i="30" s="1"/>
  <c r="N25" i="30" s="1"/>
  <c r="O31" i="30"/>
  <c r="M31" i="30"/>
  <c r="K31" i="30"/>
  <c r="I31" i="30"/>
  <c r="G31" i="30"/>
  <c r="E31" i="30"/>
  <c r="AC30" i="30"/>
  <c r="AD30" i="30" s="1"/>
  <c r="AA30" i="30"/>
  <c r="AB30" i="30" s="1"/>
  <c r="Z30" i="30"/>
  <c r="X30" i="30"/>
  <c r="V30" i="30"/>
  <c r="T30" i="30"/>
  <c r="Q30" i="30"/>
  <c r="O30" i="30"/>
  <c r="M30" i="30"/>
  <c r="K30" i="30"/>
  <c r="G30" i="30"/>
  <c r="E30" i="30"/>
  <c r="W24" i="30"/>
  <c r="V24" i="30"/>
  <c r="U24" i="30"/>
  <c r="T24" i="30"/>
  <c r="N24" i="30"/>
  <c r="F17" i="30"/>
  <c r="U58" i="8"/>
  <c r="T58" i="8"/>
  <c r="B33" i="26"/>
  <c r="N12" i="26"/>
  <c r="H12" i="26"/>
  <c r="E12" i="26"/>
  <c r="M10" i="26"/>
  <c r="L10" i="26"/>
  <c r="K10" i="26"/>
  <c r="D10" i="26"/>
  <c r="C10" i="26"/>
  <c r="B10" i="26"/>
  <c r="Q129" i="20"/>
  <c r="Q128" i="20"/>
  <c r="Q127" i="20"/>
  <c r="Q126" i="20"/>
  <c r="Q125" i="20"/>
  <c r="Q124" i="20"/>
  <c r="Q123" i="20"/>
  <c r="Q122" i="20"/>
  <c r="Q121" i="20"/>
  <c r="Q117" i="20"/>
  <c r="Q116" i="20"/>
  <c r="Q115" i="20"/>
  <c r="Q114" i="20"/>
  <c r="Q73" i="20"/>
  <c r="Q72" i="20"/>
  <c r="Q71" i="20"/>
  <c r="Q70" i="20"/>
  <c r="Q19" i="20"/>
  <c r="Q8" i="20"/>
  <c r="F20" i="16"/>
  <c r="E20" i="16"/>
  <c r="D20" i="16"/>
  <c r="C20" i="16"/>
  <c r="B20" i="16"/>
  <c r="Q105" i="20"/>
  <c r="Q104" i="20"/>
  <c r="Q103" i="20"/>
  <c r="Q102" i="20"/>
  <c r="Q7" i="20"/>
  <c r="H20" i="16"/>
  <c r="S9" i="22" l="1"/>
  <c r="F9" i="22"/>
  <c r="K12" i="26"/>
  <c r="K34" i="30"/>
  <c r="K25" i="30" s="1"/>
  <c r="K26" i="30" s="1"/>
  <c r="E17" i="30" s="1"/>
  <c r="O34" i="30"/>
  <c r="M25" i="30" s="1"/>
  <c r="H9" i="22"/>
  <c r="T34" i="30"/>
  <c r="B12" i="26"/>
  <c r="I34" i="30"/>
  <c r="J25" i="30" s="1"/>
  <c r="J26" i="30" s="1"/>
  <c r="D17" i="30" s="1"/>
  <c r="Q8" i="22"/>
  <c r="G34" i="30"/>
  <c r="I25" i="30" s="1"/>
  <c r="Z34" i="30"/>
  <c r="T25" i="30" s="1"/>
  <c r="M26" i="30"/>
  <c r="G17" i="30" s="1"/>
  <c r="R5" i="22"/>
  <c r="E34" i="30"/>
  <c r="H25" i="30" s="1"/>
  <c r="H26" i="30" s="1"/>
  <c r="B17" i="30" s="1"/>
  <c r="X34" i="30"/>
  <c r="Q25" i="30" s="1"/>
  <c r="Q26" i="30" s="1"/>
  <c r="V34" i="30"/>
  <c r="M34" i="30"/>
  <c r="P8" i="22"/>
  <c r="U9" i="22"/>
  <c r="D45" i="30"/>
  <c r="I26" i="30"/>
  <c r="C17" i="30" s="1"/>
  <c r="N26" i="30"/>
  <c r="H17" i="30" s="1"/>
  <c r="R7" i="22"/>
  <c r="R6" i="22"/>
  <c r="Y145" i="20"/>
  <c r="AB34" i="30"/>
  <c r="AD34" i="30"/>
  <c r="W25" i="30" s="1"/>
  <c r="W26" i="30" s="1"/>
  <c r="R8" i="22" l="1"/>
  <c r="V25" i="30"/>
  <c r="V26" i="30" s="1"/>
  <c r="U25" i="30"/>
  <c r="H38" i="30"/>
  <c r="D47" i="30"/>
  <c r="D48" i="30" s="1"/>
  <c r="D3" i="8"/>
  <c r="E52" i="30"/>
  <c r="D52" i="30"/>
  <c r="E3" i="8" l="1"/>
  <c r="E6" i="8" s="1"/>
  <c r="D6" i="8"/>
  <c r="E43" i="30"/>
  <c r="D53" i="30"/>
  <c r="I38" i="30"/>
  <c r="F43" i="30" s="1"/>
  <c r="G43" i="30" s="1"/>
  <c r="E47" i="30"/>
  <c r="E48" i="30" s="1"/>
  <c r="E53" i="30" s="1"/>
  <c r="J38" i="30" l="1"/>
  <c r="T18" i="30"/>
  <c r="F53" i="30"/>
  <c r="V18" i="30"/>
  <c r="U18" i="30"/>
</calcChain>
</file>

<file path=xl/comments1.xml><?xml version="1.0" encoding="utf-8"?>
<comments xmlns="http://schemas.openxmlformats.org/spreadsheetml/2006/main">
  <authors>
    <author>Gloria Amparo Sanchez</author>
    <author>Gloria A. Sanchez M.</author>
    <author>Gloria A</author>
    <author>Docente</author>
  </authors>
  <commentList>
    <comment ref="D8" authorId="0" shapeId="0">
      <text>
        <r>
          <rPr>
            <b/>
            <sz val="12"/>
            <color indexed="81"/>
            <rFont val="Tahoma"/>
            <family val="2"/>
          </rPr>
          <t>Gloria Amparo Sanchez:</t>
        </r>
        <r>
          <rPr>
            <sz val="12"/>
            <color indexed="81"/>
            <rFont val="Tahoma"/>
            <family val="2"/>
          </rPr>
          <t xml:space="preserve">
Monitorear el cumplimiento del acuerdo de servicio de elaboración y entrega oportuna de las certificaciones y constancias Académicas</t>
        </r>
      </text>
    </comment>
    <comment ref="E8" authorId="1" shapeId="0">
      <text>
        <r>
          <rPr>
            <b/>
            <sz val="12"/>
            <color indexed="81"/>
            <rFont val="Tahoma"/>
            <family val="2"/>
          </rPr>
          <t>Gloria A. Sanchez M.:</t>
        </r>
        <r>
          <rPr>
            <sz val="12"/>
            <color indexed="81"/>
            <rFont val="Tahoma"/>
            <family val="2"/>
          </rPr>
          <t xml:space="preserve">
Para el período 2022-1 se generaron 1481 certificados, de los cuales se entregaron dentro de los plazos establecidos 1476, se cumplió con la meta, obteniendo un resultado seccional del 99.66%. Los 5 que no fueron generados dentro de los plazos, corresponden a certificados de rotaciones de práctica, en donde la información a certificar es enviada por parte de la facultad de Ciencias de Salud Exactas y Naturales.
Es importante aclarar que este tipo de certificados se solicitan a la facultad toda vez que este no lo genera el sistema y una vez ellos envían la información de rotación del estudiante solicitante, y la jefe de admisiones y registro procede a su firma.
Adicional a lo anterior se precisa que desde el año 2020 por instrucción nacional todos los certificados académicos que antes eran firmados por el secretario académico respectivo ya sn firmados por la jefe de admisiones y registro</t>
        </r>
      </text>
    </comment>
    <comment ref="K8" authorId="1" shapeId="0">
      <text>
        <r>
          <rPr>
            <b/>
            <sz val="9"/>
            <color indexed="81"/>
            <rFont val="Tahoma"/>
            <family val="2"/>
          </rPr>
          <t>Gloria A. Sanchez M.:</t>
        </r>
        <r>
          <rPr>
            <sz val="9"/>
            <color indexed="81"/>
            <rFont val="Tahoma"/>
            <family val="2"/>
          </rPr>
          <t xml:space="preserve">
Para el período 2022-2, se cumple la meta nacional, obteniéndose un resultado en la seccional del 99,25%, Se generaron 1072 certificados, de los cuales se entregaron dentro de los plazos establecidos 1064, se cumplió con la meta, aquellos que no fueron generados dentro de los plazos, corresponden a certificados de rotaciones de práctica y plan de estudio con intensidad horaria total, en donde la información a certificar es enviada por parte de la facultad de ciencias de salud.</t>
        </r>
      </text>
    </comment>
    <comment ref="D9" authorId="0" shapeId="0">
      <text>
        <r>
          <rPr>
            <b/>
            <sz val="12"/>
            <color indexed="81"/>
            <rFont val="Tahoma"/>
            <family val="2"/>
          </rPr>
          <t>Gloria Amparo Sanchez:</t>
        </r>
        <r>
          <rPr>
            <sz val="12"/>
            <color indexed="81"/>
            <rFont val="Tahoma"/>
            <family val="2"/>
          </rPr>
          <t xml:space="preserve">
Monitorear el cumplimiento del acuerdo de servicio de elaboración y entrega oportuna de las Certificaciones Académicas, ampliando su alcance al control del la confiabilidad de la información de los mismos, con el fin de establecer desviaciones y analizar las causas ya sea de sistema o errores en la información ingresada.</t>
        </r>
      </text>
    </comment>
    <comment ref="E9" authorId="1" shapeId="0">
      <text>
        <r>
          <rPr>
            <b/>
            <sz val="9"/>
            <color indexed="81"/>
            <rFont val="Tahoma"/>
            <family val="2"/>
          </rPr>
          <t>Gloria A. Sanchez M.:</t>
        </r>
        <r>
          <rPr>
            <sz val="9"/>
            <color indexed="81"/>
            <rFont val="Tahoma"/>
            <family val="2"/>
          </rPr>
          <t xml:space="preserve">
PRIMER SEMESTRE: Se cumplió la meta del 90%, lográndose un 97,18% en la Seccional, del total de los 248 docentes del primer periodo de 2022, 241 digitaron las las notas dentro de los plazos establecidos en el calendario académico.
La Facultad de Derecho presento un total de 7 docentes que no digitaron sus notas en los términos de calendario académico, las demás facultades (ciencias de la salud naturales y exactas, facultad de ingenieras y facultades de ciencias económicas administrativas y contables) cumplieron con el 100% de registro de notas oportunamente durante el periodo 2022-1. Los docentes que no digitan sus notas en los términos son reportados mediante oficio a las Decanaturas y Jefatura de personal para que se tomen las acciones correctivas pertinentes mediante listado de morosos
Otra estrategia que se implemento desde el proceso, es enviar correos electrónicos a las decanaturas, secretarios académicos previo al cierre de cada corte como alerta para minimizar la extemporaneidad de los docentes</t>
        </r>
      </text>
    </comment>
    <comment ref="K9" authorId="1" shapeId="0">
      <text>
        <r>
          <rPr>
            <b/>
            <sz val="9"/>
            <color indexed="81"/>
            <rFont val="Tahoma"/>
            <family val="2"/>
          </rPr>
          <t>Gloria A. Sanchez M.:</t>
        </r>
        <r>
          <rPr>
            <sz val="9"/>
            <color indexed="81"/>
            <rFont val="Tahoma"/>
            <family val="2"/>
          </rPr>
          <t xml:space="preserve">
EGUNDO SEMESTRE: Se cumplió la meta del 90%, lográndose un 97,67% en la Seccional, del total de los 258 docentes del primer periodo de 2022, 252 digitaron las las notas dentro de los plazos establecidos en el calendario académico.
La Facultad de Derecho ciencias políticas y sociales presento un total de 2 docentes que no digitaron sus notas en los términos de calendario académico, la facultad de ingenieras no presento reporte de morosos, la facultad de ciencias económicas administrativas y contables presento tres docentes morosos y la facultad de ciencias de la salud naturales y exactas presento un docente moroso durante el periodo 2022-2. Los docentes que no digitan sus notas en los términos son reportados mediante oficio a las Decanaturas y Jefatura de personal para que se tomen las acciones correctivas pertinentes mediante listado de morosos.
Otra estrategia que se implemento desde el proceso, es enviar correos electrónicos a las decanaturas, secretarios académicos previo al cierre de cada corte como alerta para minimizar la extemporaneidad de los docentes</t>
        </r>
      </text>
    </comment>
    <comment ref="D10" authorId="0" shapeId="0">
      <text>
        <r>
          <rPr>
            <b/>
            <sz val="12"/>
            <color indexed="81"/>
            <rFont val="Tahoma"/>
            <family val="2"/>
          </rPr>
          <t>Gloria Amparo Sanchez:</t>
        </r>
        <r>
          <rPr>
            <sz val="12"/>
            <color indexed="81"/>
            <rFont val="Tahoma"/>
            <family val="2"/>
          </rPr>
          <t xml:space="preserve">
Monitorear el cumplimiento del acuerdo de servicio de elaboración y entrega oportuna de las Certificaciones Académicas, ampliando su alcance al control del la confiabilidad de la información de los mismos, con el fin de establecer desviaciones y analizar las causas ya sea de sistema o errores en la información ingresada.</t>
        </r>
      </text>
    </comment>
    <comment ref="E10" authorId="1" shapeId="0">
      <text>
        <r>
          <rPr>
            <b/>
            <sz val="12"/>
            <color indexed="81"/>
            <rFont val="Tahoma"/>
            <family val="2"/>
          </rPr>
          <t>Gloria A. Sanchez M.:</t>
        </r>
        <r>
          <rPr>
            <sz val="12"/>
            <color indexed="81"/>
            <rFont val="Tahoma"/>
            <family val="2"/>
          </rPr>
          <t xml:space="preserve">
Para el período 2022-1 se generaron un total de 1481 certificados, de los cuales 6 fueron reprocesados, cumpliendo así la meta, obteniendo un resultado de la seccional de 99.59%. Esto debido a cambio de documento, en otros casos información personal errónea como lugar de expedición del documento. Como acciones preventivas para mitigar lo anterior, el auxiliar antes de generar los certificados verifica si el estudiante ya es mayor de edad y procede a solicitud fotocopia de su documento de identidad para hacer el cambio en el sistema académico de TI a CC, contribuyendo así a tener actualizada la información de los estudiantes y evitar reprocesos
</t>
        </r>
      </text>
    </comment>
    <comment ref="K10" authorId="1" shapeId="0">
      <text>
        <r>
          <rPr>
            <b/>
            <sz val="9"/>
            <color indexed="81"/>
            <rFont val="Tahoma"/>
            <family val="2"/>
          </rPr>
          <t>Gloria A. Sanchez M.:</t>
        </r>
        <r>
          <rPr>
            <sz val="9"/>
            <color indexed="81"/>
            <rFont val="Tahoma"/>
            <family val="2"/>
          </rPr>
          <t xml:space="preserve">
Para el período 2022-2, se cumple con la meta nacional, obteniéndose un resultado en la seccional del 99,44%. Se generaron un total de 1072 certificados, de los cuales 6 fueron reprocesados, cumpliendo así la meta. Esto debido a cambio de documento, en otros casos inconsistencias en notas y promedio, en donde se requería actualizar historias académicas.</t>
        </r>
      </text>
    </comment>
    <comment ref="D14" authorId="0" shapeId="0">
      <text>
        <r>
          <rPr>
            <b/>
            <sz val="9"/>
            <color indexed="81"/>
            <rFont val="Tahoma"/>
            <family val="2"/>
          </rPr>
          <t>Gloria Amparo Sanchez:</t>
        </r>
        <r>
          <rPr>
            <sz val="9"/>
            <color indexed="81"/>
            <rFont val="Tahoma"/>
            <family val="2"/>
          </rPr>
          <t xml:space="preserve">
Conocer el nivel de respuesta en el trámite de las solicitudes recibidas</t>
        </r>
      </text>
    </comment>
    <comment ref="E14" authorId="1" shapeId="0">
      <text>
        <r>
          <rPr>
            <b/>
            <sz val="9"/>
            <color indexed="81"/>
            <rFont val="Tahoma"/>
            <family val="2"/>
          </rPr>
          <t>Gloria A. Sanchez M.:</t>
        </r>
        <r>
          <rPr>
            <sz val="9"/>
            <color indexed="81"/>
            <rFont val="Tahoma"/>
            <family val="2"/>
          </rPr>
          <t xml:space="preserve">
PRIMER SEMESTRE: Se cumple con la meta estándar del 80% , obteniéndose un resultado en la seccional del 85,05%, de un total de 515 solicitudes en el periodo, 438 se atendieron en los tiempos establecidos según el acuerdo de servicio ,24 fueron canceladas por las áreas Académicas y administrativas y 53 corresponden a procesos de importación, que ha generado retrasos a nivel mundial por los contenedores, por efectos de la pandemia y otros inconvenientes, por lo anterior, se le comunica al área solicitante para que sean ellos quienes tomen la decisión si se continúa con el proceso o no por no cumplir con los 90 días establecidos en el acuerdo de servicio.</t>
        </r>
      </text>
    </comment>
    <comment ref="K14" authorId="1" shapeId="0">
      <text>
        <r>
          <rPr>
            <b/>
            <sz val="9"/>
            <color indexed="81"/>
            <rFont val="Tahoma"/>
            <family val="2"/>
          </rPr>
          <t>Gloria A. Sanchez M.:</t>
        </r>
        <r>
          <rPr>
            <sz val="9"/>
            <color indexed="81"/>
            <rFont val="Tahoma"/>
            <family val="2"/>
          </rPr>
          <t xml:space="preserve">
Se cumple con la meta del 80 % del estándar nacional un rango bueno de 81.56 % para un total de 423 solicitudes recibidas, de las cuales 345 fueron tramitadas en los tiempos establecidos, de donde 42 tuvieron retrasos por que son de importación y 36 fueron devueltas a las aéreas, ya que no se podían tramitar por falta de presupuesto del año 2022 , se les solicita nuevamente a las aéreas para que sean tramitadas en el 2023-1</t>
        </r>
      </text>
    </comment>
    <comment ref="E15" authorId="1" shapeId="0">
      <text>
        <r>
          <rPr>
            <b/>
            <sz val="12"/>
            <color indexed="81"/>
            <rFont val="Tahoma"/>
            <family val="2"/>
          </rPr>
          <t>Gloria A. Sanchez M.:</t>
        </r>
        <r>
          <rPr>
            <sz val="12"/>
            <color indexed="81"/>
            <rFont val="Tahoma"/>
            <family val="2"/>
          </rPr>
          <t xml:space="preserve">
Para el primer semestre de 2022 se superó la meta nacional del 80%, lográndose un resultado seccional del 97,67% de efectividad , el total de solicitudes radicadas en almacén fue de 258 y se atendieron oportunamente 252.
De las 6 solicitudes que no se entregaron a tiempo, se debe a la entrega parcial de pedidos que en el momento de ser solicitados, se encontraban en proceso de compra o entrega del suministro (por lo general fueron insumos de papelería y aseo, los cuales se debió hacer cambio en las compras por variación de los precios y/o no tener en existencia ya del producto por el problema de las importaciones en el país, se cancelaron algunas compras por el mismo motivo y se debió realizar de nuevo todo el proceso). Los faltantes en cada entrega, no generaron problemas en las unidades académicas o administrativas ya que se logró tener un pequeño stock para atenderlas, pero se distribuyó equitativamente entre las áreas solicitantes.</t>
        </r>
      </text>
    </comment>
    <comment ref="K15" authorId="1" shapeId="0">
      <text>
        <r>
          <rPr>
            <b/>
            <sz val="9"/>
            <color indexed="81"/>
            <rFont val="Tahoma"/>
            <family val="2"/>
          </rPr>
          <t>Gloria A. Sanchez M.:</t>
        </r>
        <r>
          <rPr>
            <sz val="9"/>
            <color indexed="81"/>
            <rFont val="Tahoma"/>
            <family val="2"/>
          </rPr>
          <t xml:space="preserve">
2022-2:  Se cumple la meta nacional que es mínimo 80%, obteniéndose un resultado seccional del 99,62%.  De un total de 260 solicitudes radicadas en almacén, se atendieron oportunamente 259. La no entrega a tiempo de una de las solicitudes, se debió a que el solicitante realizo con anticipación los insumos para Consejo Directivo, y se entregó en la fecha, por parte de almacén, de la realización del Consejo Directivo.</t>
        </r>
      </text>
    </comment>
    <comment ref="D16" authorId="0" shapeId="0">
      <text>
        <r>
          <rPr>
            <b/>
            <sz val="12"/>
            <color indexed="81"/>
            <rFont val="Tahoma"/>
            <family val="2"/>
          </rPr>
          <t>Gloria Amparo Sanchez:</t>
        </r>
        <r>
          <rPr>
            <sz val="12"/>
            <color indexed="81"/>
            <rFont val="Tahoma"/>
            <family val="2"/>
          </rPr>
          <t xml:space="preserve">
Evaluar el cumplimiento de las actividades planeadas por la auditoría Interna.</t>
        </r>
      </text>
    </comment>
    <comment ref="E16" authorId="1" shapeId="0">
      <text>
        <r>
          <rPr>
            <b/>
            <sz val="9"/>
            <color indexed="81"/>
            <rFont val="Tahoma"/>
            <family val="2"/>
          </rPr>
          <t>Gloria A. Sanchez M.:</t>
        </r>
        <r>
          <rPr>
            <sz val="9"/>
            <color indexed="81"/>
            <rFont val="Tahoma"/>
            <family val="2"/>
          </rPr>
          <t xml:space="preserve">
2022-1: De las 124 Auditorias Planeadas de Enero a Junio de 2022; se ejecutó el 100% de las auditorias del plan general de trabajo. Dando cumpliendo con la meta estándar nacional. Desde la auditoria se realiza plan de trabajo anual, donde el equipo auditor de acuerdo a su competencia realizan las auditorias: Academicas, Administrativa y Financiera. Controlando el seguimiento a traves de semaforizacion en dicho plan.
A nivel nacional se dio la instrucción en el año 2021 de realizar auditorias de control previo a: Pagos a proveedores, nomina, cheques, transfrencias; con el fin de ser un organismo preventivo que protege los intereses de la institución.</t>
        </r>
      </text>
    </comment>
    <comment ref="K16" authorId="1" shapeId="0">
      <text>
        <r>
          <rPr>
            <b/>
            <sz val="9"/>
            <color indexed="81"/>
            <rFont val="Tahoma"/>
            <family val="2"/>
          </rPr>
          <t>Gloria A. Sanchez M.:</t>
        </r>
        <r>
          <rPr>
            <sz val="9"/>
            <color indexed="81"/>
            <rFont val="Tahoma"/>
            <family val="2"/>
          </rPr>
          <t xml:space="preserve">
2022-2: De las 132 Auditorias Planeadas de Julio a Diciembre de 2022; se ejecutó el 100% de las auditorias del plan general de trabajo. Dando cumpliendo con la meta estándar nacional. Del plan de trabajo anual ejecutado por el equipo auditor se realizaron el total de las auditorias propuestas: Academicas, Administrativa y Financiera. Controlando el seguimiento a traves de semaforizacion en dicho plan.
</t>
        </r>
      </text>
    </comment>
    <comment ref="D17" authorId="0" shapeId="0">
      <text>
        <r>
          <rPr>
            <b/>
            <sz val="9"/>
            <color indexed="81"/>
            <rFont val="Tahoma"/>
            <family val="2"/>
          </rPr>
          <t>Gloria Amparo Sanchez:</t>
        </r>
        <r>
          <rPr>
            <sz val="9"/>
            <color indexed="81"/>
            <rFont val="Tahoma"/>
            <family val="2"/>
          </rPr>
          <t xml:space="preserve">
</t>
        </r>
        <r>
          <rPr>
            <sz val="12"/>
            <color indexed="81"/>
            <rFont val="Tahoma"/>
            <family val="2"/>
          </rPr>
          <t>RANGO:  65%-74%</t>
        </r>
      </text>
    </comment>
    <comment ref="E17" authorId="1" shapeId="0">
      <text>
        <r>
          <rPr>
            <b/>
            <sz val="9"/>
            <color indexed="81"/>
            <rFont val="Tahoma"/>
            <family val="2"/>
          </rPr>
          <t>Gloria A. Sanchez M.:</t>
        </r>
        <r>
          <rPr>
            <sz val="9"/>
            <color indexed="81"/>
            <rFont val="Tahoma"/>
            <family val="2"/>
          </rPr>
          <t xml:space="preserve">
Enero 2022: Se realizó control previo a 348 cuentas, con el 100% de cumplimiento</t>
        </r>
      </text>
    </comment>
    <comment ref="F17" authorId="1" shapeId="0">
      <text>
        <r>
          <rPr>
            <b/>
            <sz val="9"/>
            <color indexed="81"/>
            <rFont val="Tahoma"/>
            <family val="2"/>
          </rPr>
          <t>Gloria A. Sanchez M.:</t>
        </r>
        <r>
          <rPr>
            <sz val="9"/>
            <color indexed="81"/>
            <rFont val="Tahoma"/>
            <family val="2"/>
          </rPr>
          <t xml:space="preserve">
Febrero 2022: Se realizó control previo a 329 cuentas, con el 100% de cumplimiento</t>
        </r>
      </text>
    </comment>
    <comment ref="G17" authorId="1" shapeId="0">
      <text>
        <r>
          <rPr>
            <b/>
            <sz val="9"/>
            <color indexed="81"/>
            <rFont val="Tahoma"/>
            <family val="2"/>
          </rPr>
          <t>Gloria A. Sanchez M.:</t>
        </r>
        <r>
          <rPr>
            <sz val="9"/>
            <color indexed="81"/>
            <rFont val="Tahoma"/>
            <family val="2"/>
          </rPr>
          <t xml:space="preserve">
Marzo 2022: Se realizó control previo a 364 cuentas, con el 100% de cumplimiento
</t>
        </r>
      </text>
    </comment>
    <comment ref="H17" authorId="1" shapeId="0">
      <text>
        <r>
          <rPr>
            <b/>
            <sz val="9"/>
            <color indexed="81"/>
            <rFont val="Tahoma"/>
            <family val="2"/>
          </rPr>
          <t>Gloria A. Sanchez M.:</t>
        </r>
        <r>
          <rPr>
            <sz val="9"/>
            <color indexed="81"/>
            <rFont val="Tahoma"/>
            <family val="2"/>
          </rPr>
          <t xml:space="preserve">
Abril 2022: Se realizó control previo a 318 cuentas, con el 100% de cumplimiento</t>
        </r>
      </text>
    </comment>
    <comment ref="I17" authorId="1" shapeId="0">
      <text>
        <r>
          <rPr>
            <b/>
            <sz val="9"/>
            <color indexed="81"/>
            <rFont val="Tahoma"/>
            <family val="2"/>
          </rPr>
          <t>Gloria A. Sanchez M.:</t>
        </r>
        <r>
          <rPr>
            <sz val="9"/>
            <color indexed="81"/>
            <rFont val="Tahoma"/>
            <family val="2"/>
          </rPr>
          <t xml:space="preserve">
Mayo 2022: Se realizó control previo a 415 cuentas, con el 100% de cumplimiento. Evidenciando Inconsistencias recurrentes en la aplicación de impuestos, anexos de seguridad social no ajustadas a los contratos, causaciones con errores en el concepto, numero de factura o valor. Dichos hallazgos se socializaron con el lider proceso.</t>
        </r>
      </text>
    </comment>
    <comment ref="J17" authorId="1" shapeId="0">
      <text>
        <r>
          <rPr>
            <b/>
            <sz val="9"/>
            <color indexed="81"/>
            <rFont val="Tahoma"/>
            <family val="2"/>
          </rPr>
          <t>Gloria A. Sanchez M.:</t>
        </r>
        <r>
          <rPr>
            <sz val="9"/>
            <color indexed="81"/>
            <rFont val="Tahoma"/>
            <family val="2"/>
          </rPr>
          <t xml:space="preserve">
Junio 2022: Se realizó control previo a 396 cuentas, con el 100% de cumplimiento. Evidenciando Inconsistencias recurrentes en la aplicación de impuestos, anexos de seguridad social no ajustadas a los contratos, causaciones con errores en el concepto, numero de factura o valor. Dichos hallazgos se socializaron con el lider proceso.</t>
        </r>
      </text>
    </comment>
    <comment ref="K17" authorId="1" shapeId="0">
      <text>
        <r>
          <rPr>
            <b/>
            <sz val="9"/>
            <color indexed="81"/>
            <rFont val="Tahoma"/>
            <family val="2"/>
          </rPr>
          <t>Gloria A. Sanchez M.:</t>
        </r>
        <r>
          <rPr>
            <sz val="9"/>
            <color indexed="81"/>
            <rFont val="Tahoma"/>
            <family val="2"/>
          </rPr>
          <t xml:space="preserve">
ulio 2022: Se realizó control previo a 325 cuentas, con el 100% de cumplimiento. Nuevamente se evidencian Inconsistencias recurrentes en la aplicación de impuestos, anexos de seguridad social no ajustadas a los contratos, causaciones con errores en el concepto, numero de factura o valor. Dichos hallazgos se socializaron con el lider proceso.</t>
        </r>
      </text>
    </comment>
    <comment ref="M17" authorId="1" shapeId="0">
      <text>
        <r>
          <rPr>
            <b/>
            <sz val="9"/>
            <color indexed="81"/>
            <rFont val="Tahoma"/>
            <family val="2"/>
          </rPr>
          <t>Gloria A. Sanchez M.:</t>
        </r>
        <r>
          <rPr>
            <sz val="9"/>
            <color indexed="81"/>
            <rFont val="Tahoma"/>
            <family val="2"/>
          </rPr>
          <t xml:space="preserve">
Septiembre 2022: Se realizó control previo a 347 cuentas, con el 100% de cumplimiento. Evidenciando de manera recurrente Inconsistencias en la aplicación de impuestos, anexos de seguridad social no ajustadas a los contratos, causaciones con errores en el concepto, numero de factura o valor. Dichos hallazgos se socializaron con el lider proceso.</t>
        </r>
      </text>
    </comment>
    <comment ref="N17" authorId="1" shapeId="0">
      <text>
        <r>
          <rPr>
            <b/>
            <sz val="9"/>
            <color indexed="81"/>
            <rFont val="Tahoma"/>
            <family val="2"/>
          </rPr>
          <t>Gloria A. Sanchez M.:</t>
        </r>
        <r>
          <rPr>
            <sz val="9"/>
            <color indexed="81"/>
            <rFont val="Tahoma"/>
            <family val="2"/>
          </rPr>
          <t xml:space="preserve">
Octubre 2022: Se realizó control previo a 308 cuentas, con el 100% de cumplimiento. En el transcurso del año 2022 se evidencian continuamante Inconsistencias en la aplicación de impuestos, anexos de seguridad social no ajustadas a los contratos, causaciones con errores en el concepto, numero de factura o valor. Dichos hallazgos se socializaron con el lider proceso.</t>
        </r>
      </text>
    </comment>
    <comment ref="O17" authorId="1" shapeId="0">
      <text>
        <r>
          <rPr>
            <b/>
            <sz val="9"/>
            <color indexed="81"/>
            <rFont val="Tahoma"/>
            <family val="2"/>
          </rPr>
          <t>Gloria A. Sanchez M.:</t>
        </r>
        <r>
          <rPr>
            <sz val="9"/>
            <color indexed="81"/>
            <rFont val="Tahoma"/>
            <family val="2"/>
          </rPr>
          <t xml:space="preserve">
Noviembre 2022: Se realizó control previo a 349 cuentas, con el 100% de cumplimiento. En el transcurso del año 2022 se evidencian continuamante Inconsistencias en la aplicación de impuestos, anexos de seguridad social no ajustadas a los contratos, causaciones con errores en el concepto, numero de factura o valor. Dichos hallazgos se socializaron con el lider proceso.
</t>
        </r>
      </text>
    </comment>
    <comment ref="P17" authorId="1" shapeId="0">
      <text>
        <r>
          <rPr>
            <b/>
            <sz val="9"/>
            <color indexed="81"/>
            <rFont val="Tahoma"/>
            <family val="2"/>
          </rPr>
          <t>Gloria A. Sanchez M.:</t>
        </r>
        <r>
          <rPr>
            <sz val="9"/>
            <color indexed="81"/>
            <rFont val="Tahoma"/>
            <family val="2"/>
          </rPr>
          <t xml:space="preserve">
Diciembre 2022: Se realizó control previo a 315 cuentas, con el 100% de cumplimiento. En el transcurso del año 2022 se evidencian continuamante Inconsistencias y dichos hallazgos se socializaron con el lider proceso.</t>
        </r>
      </text>
    </comment>
    <comment ref="D19" authorId="0" shapeId="0">
      <text>
        <r>
          <rPr>
            <b/>
            <sz val="9"/>
            <color indexed="81"/>
            <rFont val="Tahoma"/>
            <family val="2"/>
          </rPr>
          <t>Gloria Amparo Sanchez:</t>
        </r>
        <r>
          <rPr>
            <sz val="9"/>
            <color indexed="81"/>
            <rFont val="Tahoma"/>
            <family val="2"/>
          </rPr>
          <t xml:space="preserve">
RANGO BUENO: 10</t>
        </r>
      </text>
    </comment>
    <comment ref="D20" authorId="0" shapeId="0">
      <text>
        <r>
          <rPr>
            <b/>
            <sz val="9"/>
            <color indexed="81"/>
            <rFont val="Tahoma"/>
            <family val="2"/>
          </rPr>
          <t>Gloria Amparo Sanchez:</t>
        </r>
        <r>
          <rPr>
            <sz val="9"/>
            <color indexed="81"/>
            <rFont val="Tahoma"/>
            <family val="2"/>
          </rPr>
          <t xml:space="preserve">
RANGO BUENO: 0,5</t>
        </r>
      </text>
    </comment>
    <comment ref="E20" authorId="1" shapeId="0">
      <text>
        <r>
          <rPr>
            <b/>
            <sz val="9"/>
            <color indexed="81"/>
            <rFont val="Tahoma"/>
            <family val="2"/>
          </rPr>
          <t>Gloria A. Sanchez M.:</t>
        </r>
        <r>
          <rPr>
            <sz val="9"/>
            <color indexed="81"/>
            <rFont val="Tahoma"/>
            <family val="2"/>
          </rPr>
          <t xml:space="preserve">
Se cumple la meta nacional del 0,3%, alcanzándose en la seccional el 2,57%, para la vigencia del año 2022. Se adquirió en compra 225 ejemplares (154 sede centro y 71 ejemplares en la sede Belmonte). En donación se recibieron 124 ejemplares (82 centro y 42 ejemplares en Belmonte). y más de 8000 títulos en medio electrónico en cada una de las bases de datos que contienen libros digitales y electrónicos de cada una de las facultades que fueron renovadas durante el presente año.</t>
        </r>
      </text>
    </comment>
    <comment ref="D21" authorId="0" shapeId="0">
      <text>
        <r>
          <rPr>
            <b/>
            <sz val="9"/>
            <color indexed="81"/>
            <rFont val="Tahoma"/>
            <family val="2"/>
          </rPr>
          <t>Gloria Amparo Sanchez:</t>
        </r>
        <r>
          <rPr>
            <sz val="9"/>
            <color indexed="81"/>
            <rFont val="Tahoma"/>
            <family val="2"/>
          </rPr>
          <t xml:space="preserve">
RANGO BUENO: 30</t>
        </r>
      </text>
    </comment>
    <comment ref="E21" authorId="1" shapeId="0">
      <text>
        <r>
          <rPr>
            <b/>
            <sz val="9"/>
            <color indexed="81"/>
            <rFont val="Tahoma"/>
            <family val="2"/>
          </rPr>
          <t>Gloria A. Sanchez M.:</t>
        </r>
        <r>
          <rPr>
            <sz val="9"/>
            <color indexed="81"/>
            <rFont val="Tahoma"/>
            <family val="2"/>
          </rPr>
          <t xml:space="preserve">
AÑO 2022 Se cumple la meta nacional de 10 volúmenes por estudiante , en la Seccional Pereira, se obtuvo un resultado del 12,05% teniendo en cuenta el total de alumnos de la seccional de 3.254 matriculados y el total de la colección en libros físicos que es de 39.223 ejemplares (sede centro: 19964; campus Belmonte: 19259).
</t>
        </r>
      </text>
    </comment>
    <comment ref="D22" authorId="0" shapeId="0">
      <text>
        <r>
          <rPr>
            <b/>
            <sz val="9"/>
            <color indexed="81"/>
            <rFont val="Tahoma"/>
            <family val="2"/>
          </rPr>
          <t>Gloria Amparo Sanchez:</t>
        </r>
        <r>
          <rPr>
            <sz val="9"/>
            <color indexed="81"/>
            <rFont val="Tahoma"/>
            <family val="2"/>
          </rPr>
          <t xml:space="preserve">
RANGO BUENO: 2% </t>
        </r>
      </text>
    </comment>
    <comment ref="E22" authorId="1" shapeId="0">
      <text>
        <r>
          <rPr>
            <b/>
            <sz val="9"/>
            <color indexed="81"/>
            <rFont val="Tahoma"/>
            <family val="2"/>
          </rPr>
          <t>Gloria A. Sanchez M.:</t>
        </r>
        <r>
          <rPr>
            <sz val="9"/>
            <color indexed="81"/>
            <rFont val="Tahoma"/>
            <family val="2"/>
          </rPr>
          <t xml:space="preserve">
Año 2022
Comparativamente con el año anterior, la pérdida de material bibliográfico para el año 2022 fue de 27 ejemplares traducidos en el 0,07%, correspondiendo a la sede centro el 0,03% y a la sede Belmonte el 0,11%, ambas bibliotecas son en modalidad abierta al público y nos encontramos por debajo de la meta nacional del 1%. Resultado que genera la actividad desarrollada con el personal de la biblioteca en el inventario anual. Es importante aclarar que la metodología utilizada para este año, fue con gráficas dinámicas del informe de Excel que generaron el total de la colección procesada (39223 ejemplares) contra el total del inventario en JANIUM en libros, a la vez, se verifica los libros ubicados en las estanterías con el lector RFID de Genia y auditados de manera física y presencial por auditoría seccional.</t>
        </r>
      </text>
    </comment>
    <comment ref="D24" authorId="0" shapeId="0">
      <text>
        <r>
          <rPr>
            <b/>
            <sz val="9"/>
            <color indexed="81"/>
            <rFont val="Tahoma"/>
            <family val="2"/>
          </rPr>
          <t>Gloria Amparo Sanchez:</t>
        </r>
        <r>
          <rPr>
            <sz val="9"/>
            <color indexed="81"/>
            <rFont val="Tahoma"/>
            <family val="2"/>
          </rPr>
          <t xml:space="preserve">
RANGO BUENO: 36% -50%</t>
        </r>
      </text>
    </comment>
    <comment ref="E24" authorId="1" shapeId="0">
      <text>
        <r>
          <rPr>
            <b/>
            <sz val="9"/>
            <color indexed="81"/>
            <rFont val="Tahoma"/>
            <family val="2"/>
          </rPr>
          <t>Gloria A. Sanchez M.:</t>
        </r>
        <r>
          <rPr>
            <sz val="9"/>
            <color indexed="81"/>
            <rFont val="Tahoma"/>
            <family val="2"/>
          </rPr>
          <t xml:space="preserve">
2022-1 En el primer semestre de 2022, se supera la meta nacional del 80% obteniéndose en la seccional un resultado de 97,83% de 451 estudiantes nuevos que recibieron la inducción semestral (Pregrado: 345 y posgrado 106), de un total de 461 estudiantes nuevos matriculados.
Igualmente, se llevó a cabo 11 inducciones en el conocimiento de los servicios y recursos de apoyo académico, durante el semestre a nuevas cohortes en posgrado y personal administrativo nuevo, con la participación de 155 usuarios que corresponden a : 19 administrativos, 136 estudiantes de posgrado. En capacitación semestral se dio 16 capacitaciones con la participación de 210 docentes; y 42 invitaciones a capacitar en recursos físicos y virtuales con la asistencia de 1156 estudiantes de pregrado.</t>
        </r>
      </text>
    </comment>
    <comment ref="K24" authorId="1" shapeId="0">
      <text>
        <r>
          <rPr>
            <b/>
            <sz val="9"/>
            <color indexed="81"/>
            <rFont val="Tahoma"/>
            <family val="2"/>
          </rPr>
          <t>Gloria A. Sanchez M.:</t>
        </r>
        <r>
          <rPr>
            <sz val="9"/>
            <color indexed="81"/>
            <rFont val="Tahoma"/>
            <family val="2"/>
          </rPr>
          <t xml:space="preserve">
En el segundo semestre de 2022 se supera la meta nacional del 80% obteniéndose en la seccional un resultado de 84,43% de 461 estudiantes nuevos que recibieron la inducción semestral (pregrado: 411 ; posgrado: 135) de un total de 546 estudiantes nuevos matriculados en el 2022. En el proceso de inducción se recibió 25 invitaciones a inducciones con un total de 690 usuarios distribuidos así: 411 estudiantes de pregrado; 135 estudiantes de posgrado y 6 administrativos y 138 egresados no graduados. 68 invitaciones a capacitaciones presenciales con un total de 1606 estudiantes que participaron de la capacitación en recursos virtuales y servicios de la biblioteca, distribuidos de la siguiente manera: estudiantes de pregrado: 1369; docentes 228; y administrativos 9.</t>
        </r>
      </text>
    </comment>
    <comment ref="D25" authorId="0" shapeId="0">
      <text>
        <r>
          <rPr>
            <b/>
            <sz val="9"/>
            <color indexed="81"/>
            <rFont val="Tahoma"/>
            <family val="2"/>
          </rPr>
          <t>Gloria Amparo Sanchez:</t>
        </r>
        <r>
          <rPr>
            <sz val="9"/>
            <color indexed="81"/>
            <rFont val="Tahoma"/>
            <family val="2"/>
          </rPr>
          <t xml:space="preserve">
RANGO BUENO:  80-100</t>
        </r>
      </text>
    </comment>
    <comment ref="E26" authorId="1" shapeId="0">
      <text>
        <r>
          <rPr>
            <b/>
            <sz val="9"/>
            <color indexed="81"/>
            <rFont val="Tahoma"/>
            <family val="2"/>
          </rPr>
          <t>Gloria A. Sanchez M.:</t>
        </r>
        <r>
          <rPr>
            <sz val="9"/>
            <color indexed="81"/>
            <rFont val="Tahoma"/>
            <family val="2"/>
          </rPr>
          <t xml:space="preserve">
AÑO 2022
para la vigencia del año 2022 la seccional obtuvo un resultado de 207,07. De acuerdo a datos estadísticos de uso suministrados por el proveedor de JANIUM a noviembre 30. se realizaron 6.689 préstamos de material físico en la biblioteca de la Seccional Pereira. Se visualiza en el sistema de información bibliográfico 49 libros que se encuentran en calidad de préstamo.
Para la Facultad de ciencias económicas administrativas y contables se generaron 463 préstamos; Para la Facultad de Ciencias de la salud, exactas y naturales 620; para la Facultad de Ingeniería 311 préstamos y para la Facultad de Derecho, Ciencias sociales y políticas 5.295 prestamos durante el año 2022</t>
        </r>
      </text>
    </comment>
    <comment ref="D27" authorId="1" shapeId="0">
      <text>
        <r>
          <rPr>
            <b/>
            <sz val="9"/>
            <color indexed="81"/>
            <rFont val="Tahoma"/>
            <family val="2"/>
          </rPr>
          <t>Gloria A. Sanchez M.:</t>
        </r>
        <r>
          <rPr>
            <sz val="9"/>
            <color indexed="81"/>
            <rFont val="Tahoma"/>
            <family val="2"/>
          </rPr>
          <t xml:space="preserve">
Indicador de Gestión de la Biblioteca: “NIVEL DE CONSULTA DE RECURSOS VIRTUALES DE LAS BASES DE DATOS” Por recomendación del Director Nacional de Biblioteca, donde confirma que las variables de este indicador se deberán alimentar teniendo en cuenta las siguientes herramientas. Variable 1. Número de interacciones virtuales en las Bases de Datos; este dato será tomado de la herramienta SIGUL 
Variable 2. Total, de la comunidad universitaria: esta información será tomada del documento “Certificado de Planeación cantidad de estudiantes –Resolución 03”, (el cual se genera dos veces al año y los directores de biblioteca tienen el acceso a este).  Con relación a que aún no se encuentra determinada una meta para este indicador como para el de “Nivel de Uso de Recursos Bibliográficos Físicos (externo y sala)”, se ha recomendado tomar un periodo más como línea base con el objetivo de tener una mayor exactitud a la hora de asignar las metas. 
</t>
        </r>
      </text>
    </comment>
    <comment ref="E27" authorId="1" shapeId="0">
      <text>
        <r>
          <rPr>
            <b/>
            <sz val="9"/>
            <color indexed="81"/>
            <rFont val="Tahoma"/>
            <family val="2"/>
          </rPr>
          <t>Gloria A. Sanchez M.:</t>
        </r>
        <r>
          <rPr>
            <sz val="9"/>
            <color indexed="81"/>
            <rFont val="Tahoma"/>
            <family val="2"/>
          </rPr>
          <t xml:space="preserve">
La seccional durante el periodo 2022-1 tuvo 1.190.694 interacciones virtuales de las bases de datos con participación de 1.679 usuarios en la Seccional Pereira, sobre el total de la comunidad universitaria de 3744 estudiantes (pregrado 3220 posgrado 524), distribuido en las 4 facultades de la siguiente manera:
Facultad de Derecho Ciencias Políticas y Sociales: 550.893 interacciones en 702 usuarios;
Facultad de Ingenierías: 207.205 interacciones en 393 usuarios;
Facultad de ciencias de la Salud, exactas y naturales: 245845 interacciones en 323 usuarios y Facultad de Ciencias Económicas Administrativas y Contables: 186.748 interacciones en 261 usuarios.
El resultado del indicador en el Sistema de Información KAWAK fue l 31,802.72
</t>
        </r>
      </text>
    </comment>
    <comment ref="K27" authorId="1" shapeId="0">
      <text>
        <r>
          <rPr>
            <b/>
            <sz val="9"/>
            <color indexed="81"/>
            <rFont val="Tahoma"/>
            <family val="2"/>
          </rPr>
          <t>Gloria A. Sanchez M.:</t>
        </r>
        <r>
          <rPr>
            <sz val="9"/>
            <color indexed="81"/>
            <rFont val="Tahoma"/>
            <family val="2"/>
          </rPr>
          <t xml:space="preserve">
Año 2022
En la seccional se obtuvo un resultado de 3.012109 interacciones virtuales de las bases de datos en 2.595 usuarios a noviembre 30 especificado de la siguiente manera:
para pregrado: 2.592.906 interacciones en 2.386 usuarios
Facultad de Ciencias económicas administrativas y contables: En el año 2022 se generaron 425.269 interacciones en 361 usuarios de 3254 estudiantes de pregrado y posgrado matriculados en la Seccional Pereira, lo que significa que: 195.888 interacciones en 121 usuarios del programa de economía; 111099 interacciones en 130 usuarios para el programa de Administración de empresas; 85.037 interacciones en 95 usuarios para el programa de contaduría pública y 33.263 interacciones en 16 docentes que corresponden a la facultad. Las bases de datos que consultaron más son: Emis, Analítica LEGIS, Ebook 7/24, Scopus, Legiscomex, Legis, Infolegal DMS, V/lex.
Facultad de Derecho, Ciencias Sociales y políticas: En el año 2022 se generaron 964.032 interacciones en 727 usuarios de 3254 estudiantes de pregrado y posgrado matriculados en la Seccional Pereira, lo que significa que: 949.634 interacciones en 679 usuarios del programa de derecho; 14.398 interacciones en 48 usuarios del programa de Trabajo Social. Las bases de datos más consultadas son : Emis, Sciencedirect, Ebook 7/24, Scopus, Legiscomex, Tirant, Ebsco, Jstor, Total pantent one, analítica, V/lex, Experta.
Facultad de ingenierías: Para el año 2022 se generaron 511.317 interacciones en 604 usuarios de 3254 estudiantes de pregrado y posgrado matriculados en la Seccional Pereira, lo que significa que: Para Ing. civil se generaron 325.029 interacciones en 355 usuarios; Ing. comercial se generaron 84.657 interacciones en 106 usuarios; ing. financiera se generaron 54.721 interacciones en 68 usuarios y el programa de Ing. de sistemas se generaron 8.553 interacciones en 45 usuarios. Las bases de datos más consultadas son : Emis, Sciencedirect, Ebook 7/24, Scopus, Legiscomex, Ebsco, Acces Engineering, Virtual pro, icontec, Analítica, Experta.
Facultad de ciencias de la salud, exactas y naturales: Para el año 2022 se generaron 446.713 interacciones en 434 usuarios de 3254 estudiantes de pregrado y posgrado matriculados en la Seccional Pereira, lo que significa que: para el programa de nutrición y dietética se generaron 180.492 interacciones en 168 usuarios; Microbiología 159.112 interacciones en 116 usuarios; Enfermería 107.109 interacciones en 150 usuarios. Las bases de datos más consultadas son: Scopus, Ebooks 7/24, Sciencedirect, Nursing-Ovid,Ebsco, NNNconsult, Clínica key, Anatomy tv, Emis, Icontec, Link solver.
Para posgrado: 310.478 interacciones en 200 usuarios
Facultad de Derecho, ciencias sociales y políticas se generaron 240438 interacciones en 204 usuarios de los programas de especialización. Las bases de datos más consultadas son: V/lex, Xperta,Lex base,Legis móvil, Tirant Lo blanch, Infolegal DMS, Analítica, Scopus, Astrea Virtual, Jstor, Ebsco, Legis.
Facultad de ciencias de la salud, exactas y naturales: Se generaron 4.873 interacciones en 7 usuarios de los programas de especialización y maestría. Las bases de datos más consultadas son: Ebook 7/24, Icontec, Scopus, Linksolver, Salud leyex, Nursing, Legis móvil, Xperta, sgsst Global, Códigos leyex. Analítica.
Facultad de Ingenierías: Se generaron 43 interacciones en 1 usuario de las especializaciones. Las bases de datos más usadas son: Scopus y Sciencedirect
Facultad de ciencias económicas administrativas y contables: Se generaron 56.124 interacciones en 40 usuarios de las especializaciones y maestrías. La bases de datos más consultadas son: Emis, Analítica, Ebook 7/24, Scocpus, Legiscomex, Legismóvil, Xperta, Ebsco, infolegal DMS.</t>
        </r>
      </text>
    </comment>
    <comment ref="D28" authorId="0" shapeId="0">
      <text>
        <r>
          <rPr>
            <b/>
            <sz val="9"/>
            <color indexed="81"/>
            <rFont val="Tahoma"/>
            <family val="2"/>
          </rPr>
          <t>Gloria Amparo Sanchez:</t>
        </r>
        <r>
          <rPr>
            <sz val="9"/>
            <color indexed="81"/>
            <rFont val="Tahoma"/>
            <family val="2"/>
          </rPr>
          <t xml:space="preserve">
Rango bueno: 24,99%-20%</t>
        </r>
      </text>
    </comment>
    <comment ref="E28" authorId="1" shapeId="0">
      <text>
        <r>
          <rPr>
            <b/>
            <sz val="9"/>
            <color indexed="81"/>
            <rFont val="Tahoma"/>
            <family val="2"/>
          </rPr>
          <t>Gloria A. Sanchez M.:</t>
        </r>
        <r>
          <rPr>
            <sz val="9"/>
            <color indexed="81"/>
            <rFont val="Tahoma"/>
            <family val="2"/>
          </rPr>
          <t xml:space="preserve">
Para el primer semestre del 2022, se cumple la meta del 50% con un resultado seccional del 60.92% (del total de 4033 entre estudiantes de pregrado y posgrado, docentes, administrativos y egresados de la comunidad Unilibrista).
Para el primer semestre de la vigencia se obtiene un impacto muy positivo en las intervenciones realizadas dirigidas a toda la comunidad Unilibrista, para la formación de hábitos y estilos de vida que preserven la salud, evidenciado por un 61%. En el retorno a las actividades presenciales se observó un incremento de las valoraciones en el consultorio médico, mayor acceso a los servicios de manera espontánea para asesoramiento y orientación en temas diversos (síntomas COVID-19, medidas de protección, planificación familiar, control del peso y de la presión arterial, entre otros). También se resalta en el periodo el cumplimiento de la semana de la salud, evento que se realizó en el marco del Día Mundial de la Salud y logró la participación de la comunidad en las diferentes campañas y actividades durante la semana del 4 al 8 de abril.
Se programó como parte de las acciones de mejoramiento continuo con la Coordinación de Calidad de la Seccional, jornadas de socialización y refuerzo dirigida al personal docente en el tema de Área Protegida.
En el mes de mayo se realiza intervención dirigida al personal de vigilancia de la Universidad, para socializar y reforzar el uso correcto, cobertura, alcance y límites del servicio de Área Protegida, el cual no queda en las estadísticas por constituirse en personal externo (total intervenidos: 19 personas).</t>
        </r>
      </text>
    </comment>
    <comment ref="K28" authorId="1" shapeId="0">
      <text>
        <r>
          <rPr>
            <b/>
            <sz val="9"/>
            <color indexed="81"/>
            <rFont val="Tahoma"/>
            <family val="2"/>
          </rPr>
          <t>Gloria A. Sanchez M.:</t>
        </r>
        <r>
          <rPr>
            <sz val="9"/>
            <color indexed="81"/>
            <rFont val="Tahoma"/>
            <family val="2"/>
          </rPr>
          <t xml:space="preserve">
Para el segundo semestre del 2022, la coordinación de salud cumple la meta del 50% con un resultado seccional del 55.01%, de un total de 4092 integrantes de la comunidad, se logran impactar a 2.251 personas entre estudiantes de pregrado y posgrado, docentes, administrativos y egresados de la comunidad Unilibrista.
Para el segundo semestre se continua con un impacto muy positivo en las intervenciones realizadas dirigidas a toda la comunidad Unilibrista, Fortaleciendo las acciones de promoción y prevención encaminadas a generar hábitos y estilos de vida saludable, que permitan una mayor conciencia y empoderamiento entre los integrantes de la comunidad universitaria, sobre la importancia de la cultura del cuidado de la salud como aspecto fundamental para el disfrute de la vida.
Así, se llevan a cabo programas sobre todo de prevención y promoción; contamos con consultorio médico, de enfermería y programas tales como:
Consulta Medica
Consulta de enfermería
Atención en planificación familiar
Programas de promoción y prevención
Atención inicial de emergencias (primeros auxilios)
Servicio de área protegida
Programa de autocuidado:
Manejo del estrés
Sexualidad responsable
Hábitos de vida saludable</t>
        </r>
      </text>
    </comment>
    <comment ref="D29" authorId="0" shapeId="0">
      <text>
        <r>
          <rPr>
            <b/>
            <sz val="9"/>
            <color indexed="81"/>
            <rFont val="Tahoma"/>
            <family val="2"/>
          </rPr>
          <t>Gloria Amparo Sanchez:</t>
        </r>
        <r>
          <rPr>
            <sz val="9"/>
            <color indexed="81"/>
            <rFont val="Tahoma"/>
            <family val="2"/>
          </rPr>
          <t xml:space="preserve">
Rango bueno: 24,99%-20%</t>
        </r>
      </text>
    </comment>
    <comment ref="E29" authorId="1" shapeId="0">
      <text>
        <r>
          <rPr>
            <b/>
            <sz val="9"/>
            <color indexed="81"/>
            <rFont val="Tahoma"/>
            <family val="2"/>
          </rPr>
          <t>Gloria A. Sanchez M.:</t>
        </r>
        <r>
          <rPr>
            <sz val="9"/>
            <color indexed="81"/>
            <rFont val="Tahoma"/>
            <family val="2"/>
          </rPr>
          <t xml:space="preserve">
Para el primer semestre del 2022, Se cumple la meta estándar nacional, con un resultado seccional del 34.12% (del total de 4033 entre estudiantes de pregrado y posgrado, docentes, administrativos y egresados que hacen parte de la comunidad unilibrista, participaron en programas de desarrollo humano 1376 personas)
Lo anterior como resultado de las intervenciones grupales e individuales, Acompañamiento integral en salud mental en momentos de crisis, con seguimiento y continuidad de terapias. Atención Psicológica a la Comunidad Unilibrista con factores de riesgo y confirmación o sospecha de infección por COVID-19.</t>
        </r>
      </text>
    </comment>
    <comment ref="K29" authorId="1" shapeId="0">
      <text>
        <r>
          <rPr>
            <b/>
            <sz val="9"/>
            <color indexed="81"/>
            <rFont val="Tahoma"/>
            <family val="2"/>
          </rPr>
          <t>Gloria A. Sanchez M.:</t>
        </r>
        <r>
          <rPr>
            <sz val="9"/>
            <color indexed="81"/>
            <rFont val="Tahoma"/>
            <family val="2"/>
          </rPr>
          <t xml:space="preserve">
Para el segundo semestre del 2022, el área de desarrollo humano cumple la meta estándar nacional, con un resultado seccional del 50,59% de una población total de 4092 personas entre estudiantes de pregrado y posgrado, docentes, administrativos y egresados que hacen parte de la comunidad unilibrista, participaron en programas de desarrollo humano 2070 personas.
Desde el área de Desarrollo humano realizamos acompañamiento integral en salud mental en momentos de crisis, con seguimiento y continuidad de terapias psicológica clínica a la Comunidad Unilibrista y programas tales como:
Asesoría y acompañamiento Psicológico
Talleres motivacionales para la practica empresarial, integral y profesional
Talleres de adaptación a la vida universitaria
Educación y asesoría para el crecimiento y desarrollo personal y profesional
Programa de autocuidado:
Manejo del estrés
Sexualidad responsable
Hábitos de vida saludable
Encuentro de padres unilibristas</t>
        </r>
      </text>
    </comment>
    <comment ref="D30" authorId="0" shapeId="0">
      <text>
        <r>
          <rPr>
            <b/>
            <sz val="9"/>
            <color indexed="81"/>
            <rFont val="Tahoma"/>
            <family val="2"/>
          </rPr>
          <t>Gloria Amparo Sanchez:</t>
        </r>
        <r>
          <rPr>
            <sz val="9"/>
            <color indexed="81"/>
            <rFont val="Tahoma"/>
            <family val="2"/>
          </rPr>
          <t xml:space="preserve">
Rango bueno: 4 - 5</t>
        </r>
      </text>
    </comment>
    <comment ref="E30" authorId="1" shapeId="0">
      <text>
        <r>
          <rPr>
            <b/>
            <sz val="9"/>
            <color indexed="81"/>
            <rFont val="Tahoma"/>
            <family val="2"/>
          </rPr>
          <t>Gloria A. Sanchez M.:</t>
        </r>
        <r>
          <rPr>
            <sz val="9"/>
            <color indexed="81"/>
            <rFont val="Tahoma"/>
            <family val="2"/>
          </rPr>
          <t xml:space="preserve">
Para el primer semestre del 2022, 51 usuarios calificaron el servicio a través del software de adviser, obteniéndose como resultado el 4,69, equivalente al 93,80% de satisfacción en la atención en salud, la sumatoria del semestre de la calificación de la calificación del servicio en el área de salud - Servicio Médico fue de 239.
Los servicios ofrecidos en esta área son: Consulta médica, valoración por enfermería, asesorías en planificación familiar, atención inicial de urgencias y emergencias, servicio del área protegida, servicio de paramédico, entre otros.</t>
        </r>
      </text>
    </comment>
    <comment ref="K30" authorId="1" shapeId="0">
      <text>
        <r>
          <rPr>
            <b/>
            <sz val="9"/>
            <color indexed="81"/>
            <rFont val="Tahoma"/>
            <family val="2"/>
          </rPr>
          <t>Gloria A. Sanchez M.:</t>
        </r>
        <r>
          <rPr>
            <sz val="9"/>
            <color indexed="81"/>
            <rFont val="Tahoma"/>
            <family val="2"/>
          </rPr>
          <t xml:space="preserve">
Para el segundo semestre del 2022, 99 usuarios calificaron el servicio a través del software de adviser, obteniéndose como resultado el 4,52 equivalente al 90,40% de satisfacción en la atención en salud, la sumatoria del semestre de la calificación de la calificación del servicio en el área de salud - Servicio Médico fue de 447.
Los servicios ofrecidos en esta área son: Consulta médica, valoración por enfermería, asesorías en planificación familiar, atención inicial de urgencias y emergencias, servicio del área protegida, servicio de paramédico, entre otros.
</t>
        </r>
      </text>
    </comment>
    <comment ref="D31" authorId="0" shapeId="0">
      <text>
        <r>
          <rPr>
            <b/>
            <sz val="9"/>
            <color indexed="81"/>
            <rFont val="Tahoma"/>
            <family val="2"/>
          </rPr>
          <t>Gloria Amparo Sanchez:</t>
        </r>
        <r>
          <rPr>
            <sz val="9"/>
            <color indexed="81"/>
            <rFont val="Tahoma"/>
            <family val="2"/>
          </rPr>
          <t xml:space="preserve">
Rango bueno: 4 - 5</t>
        </r>
      </text>
    </comment>
    <comment ref="E31" authorId="1" shapeId="0">
      <text>
        <r>
          <rPr>
            <b/>
            <sz val="9"/>
            <color indexed="81"/>
            <rFont val="Tahoma"/>
            <family val="2"/>
          </rPr>
          <t>Gloria A. Sanchez M.:</t>
        </r>
        <r>
          <rPr>
            <sz val="9"/>
            <color indexed="81"/>
            <rFont val="Tahoma"/>
            <family val="2"/>
          </rPr>
          <t xml:space="preserve">
Para el primer semestre del 2022,19 usuarios calificaron el servicio de psicología, por medio de la plataforma de ADVISER, con una sumatoria de 91,20 calificaciones, obteniéndose una evaluación del 4,80 equivalente al 96% de satisfacción.
Se cuenta con servicio Psicología clínica y educativa, psicóloga asignada a cada facultad , las cuales trabajan en las estrategias educativas que ayudan a la institución a ampliar las tasas de permanencia y graduación con calidad.</t>
        </r>
      </text>
    </comment>
    <comment ref="K31" authorId="1" shapeId="0">
      <text>
        <r>
          <rPr>
            <b/>
            <sz val="9"/>
            <color indexed="81"/>
            <rFont val="Tahoma"/>
            <family val="2"/>
          </rPr>
          <t>Gloria A. Sanchez M.:</t>
        </r>
        <r>
          <rPr>
            <sz val="9"/>
            <color indexed="81"/>
            <rFont val="Tahoma"/>
            <family val="2"/>
          </rPr>
          <t xml:space="preserve">
Para el segundo semestre del 2022, 47 usuarios calificaron el servicio de psicología, por medio de la plataforma de ADVISER, con una sumatoria de 212 calificaciones, obteniéndose una evaluación del 4,51 equivalente al 90,20% de satisfacción.
Se cuenta con servicio Psicología clínica y educativa, psicóloga asignada a cada facultad , las cuales trabajan en las estrategias educativas que ayudan a la institución a ampliar las tasas de permanencia y graduación con calidad.
Se cuenta con servicio Psicología clínica y educativa, psicóloga asignada a cada facultad , las cuales trabajan en las estrategias educativas que ayudan a la institución a ampliar las tasas de permanencia y graduación con calidad.</t>
        </r>
      </text>
    </comment>
    <comment ref="D32" authorId="0" shapeId="0">
      <text>
        <r>
          <rPr>
            <b/>
            <sz val="9"/>
            <color indexed="81"/>
            <rFont val="Tahoma"/>
            <family val="2"/>
          </rPr>
          <t>Gloria Amparo Sanchez:</t>
        </r>
        <r>
          <rPr>
            <sz val="9"/>
            <color indexed="81"/>
            <rFont val="Tahoma"/>
            <family val="2"/>
          </rPr>
          <t xml:space="preserve">
Rango bueno:  7,99% - 5%</t>
        </r>
      </text>
    </comment>
    <comment ref="E32" authorId="1" shapeId="0">
      <text>
        <r>
          <rPr>
            <b/>
            <sz val="9"/>
            <color indexed="81"/>
            <rFont val="Tahoma"/>
            <family val="2"/>
          </rPr>
          <t>Gloria A. Sanchez M.:</t>
        </r>
        <r>
          <rPr>
            <sz val="9"/>
            <color indexed="81"/>
            <rFont val="Tahoma"/>
            <family val="2"/>
          </rPr>
          <t xml:space="preserve">
e cumple la meta estándar nacional "Alcanzar la participación del 8% del total de la Comunidad Unilibrista en las acciones culturales", obteniendo un resultado seccional del 17.52% ,donde el total de participantes en actividades culturales formativas fue de 738, y actividades culturales recreativas de 726, con una población total de 4033 personas (estudiantes, docentes, administrativos) los cuales hacen parte de la comunidad unilibrista.
Para este primer semestre el área de cultura ofreció sus servicios de manera presencial en las sede centro y Belmonte, con actividades que fueron gran agrado de los participantes, como:
Clases de danzas
claves de música
clases de teatro
clases del taller de pánico escénico
</t>
        </r>
      </text>
    </comment>
    <comment ref="K32" authorId="1" shapeId="0">
      <text>
        <r>
          <rPr>
            <b/>
            <sz val="9"/>
            <color indexed="81"/>
            <rFont val="Tahoma"/>
            <family val="2"/>
          </rPr>
          <t>Gloria A. Sanchez M.:</t>
        </r>
        <r>
          <rPr>
            <sz val="9"/>
            <color indexed="81"/>
            <rFont val="Tahoma"/>
            <family val="2"/>
          </rPr>
          <t xml:space="preserve">
Para el segundo semestre del 2022, desde la coordinación de cultura se cumplió la meta estándar nacional "Alcanzar la participación del 8% del total de la Comunidad Unilibrista en las acciones culturales", obteniendo la seccional Pereira un resultado seccional del 20,39% ,donde el total de participantes en actividades culturales formativas fue de 612, y actividades culturales recreativas de 1.477, con una población total de 4092 personas (estudiantes, docentes, administrativos) los cuales hacen parte de la comunidad unilibrista.
Para este segundo semestre el área de cultura ofreció sus servicios de manera presencial en la sede del centro y de Belmonte, ofertando las disciplinas que fueron de gran agrado para los participantes, como:
Clases de danzas
Clases de música
Clases de teatro
Clases del taller de pánico escénico</t>
        </r>
      </text>
    </comment>
    <comment ref="D33" authorId="0" shapeId="0">
      <text>
        <r>
          <rPr>
            <b/>
            <sz val="9"/>
            <color indexed="81"/>
            <rFont val="Tahoma"/>
            <family val="2"/>
          </rPr>
          <t>Gloria Amparo Sanchez:</t>
        </r>
        <r>
          <rPr>
            <sz val="9"/>
            <color indexed="81"/>
            <rFont val="Tahoma"/>
            <family val="2"/>
          </rPr>
          <t xml:space="preserve">
Gloria Amparo Sanchez:
Rango bueno:  7,99% - 5%</t>
        </r>
      </text>
    </comment>
    <comment ref="E33" authorId="1" shapeId="0">
      <text>
        <r>
          <rPr>
            <b/>
            <sz val="9"/>
            <color indexed="81"/>
            <rFont val="Tahoma"/>
            <family val="2"/>
          </rPr>
          <t>Gloria A. Sanchez M.:</t>
        </r>
        <r>
          <rPr>
            <sz val="9"/>
            <color indexed="81"/>
            <rFont val="Tahoma"/>
            <family val="2"/>
          </rPr>
          <t xml:space="preserve">
Para la coordinación de Deportes se obtiene un resultado del 10,65%, superando la meta del 10% de la participación de la comunidad en las actividades de Deportes.
El número total de participantes en actividades formativas fue de 372, el número total de participantes en actividades recreativas de 508, y de 54 estudiantes que participaron en grupos representativos, con respecto al total de población de la comunidad Unilibrista en semestre de 4033.
Las actividades realizadas durante el primer semestre tuvieron impacto muy positivo en la comunidad, toda vez que la institución regreso a la presencialidad, y de esta manera se habilitaron los espacios deportivos, como la disciplinas de futbol y voleibol.
Se proyecta que para el segundo semestre del año se proyecta poder entregar a la comunidad otras disciplinas como baloncesto y natación.</t>
        </r>
      </text>
    </comment>
    <comment ref="K33" authorId="1" shapeId="0">
      <text>
        <r>
          <rPr>
            <b/>
            <sz val="9"/>
            <color indexed="81"/>
            <rFont val="Tahoma"/>
            <family val="2"/>
          </rPr>
          <t>Gloria A. Sanchez M.:</t>
        </r>
        <r>
          <rPr>
            <sz val="9"/>
            <color indexed="81"/>
            <rFont val="Tahoma"/>
            <family val="2"/>
          </rPr>
          <t xml:space="preserve">
Para el segundo semestre del año la coordinación de Deportes obtiene un resultado del 13,12%, superando la meta del 10% de la participación de la comunidad en las actividades de Deportes.
El número total de participantes en actividades formativas fue de 169, el número total de participantes en actividades recreativas de 1.168, y de 85 estudiantes que participaron en grupos representativos, con respecto al total de población de la comunidad Unilibrista en semestre de 4092.
Las actividades realizadas durante el segundo semestre tuvieron impacto muy positivo en la comunidad, toda vez que la institución regresó a la presencialidad, y de esta manera se habilitaron los diferentes escenarios deportivos, como las disciplinas de futbol, voleibol, baloncesto y Gimnasio.</t>
        </r>
      </text>
    </comment>
    <comment ref="E34" authorId="1" shapeId="0">
      <text>
        <r>
          <rPr>
            <b/>
            <sz val="9"/>
            <color indexed="81"/>
            <rFont val="Tahoma"/>
            <family val="2"/>
          </rPr>
          <t>Gloria A. Sanchez M.:</t>
        </r>
        <r>
          <rPr>
            <sz val="9"/>
            <color indexed="81"/>
            <rFont val="Tahoma"/>
            <family val="2"/>
          </rPr>
          <t xml:space="preserve">
Para el primer semestre del 2022, contamos con una participación de 1070 integrantes de la comunidad unilibrista, con un resultado de impacto del 26.53%
Llevando a cabo desde la coordinación de promoción socioeconómica actividades presenciales, como:
1. Campañas lúdica de seguridad vial.
2. Estudiantes impactados en la Inducción en pregrado.
3. Estudiantes de Inducción en Posgrados.
4. Noche de la excelencia
5. Noche de la pertenencia
6. Proyecto "Unimarket" Red de apoyo a estudiantes y egresados emprendedores
7. Capacitaciones
8. Apoyo logístico</t>
        </r>
      </text>
    </comment>
    <comment ref="K34" authorId="1" shapeId="0">
      <text>
        <r>
          <rPr>
            <b/>
            <sz val="9"/>
            <color indexed="81"/>
            <rFont val="Tahoma"/>
            <family val="2"/>
          </rPr>
          <t>Gloria A. Sanchez M.:</t>
        </r>
        <r>
          <rPr>
            <sz val="9"/>
            <color indexed="81"/>
            <rFont val="Tahoma"/>
            <family val="2"/>
          </rPr>
          <t xml:space="preserve">
Para el segundo semestre del 2022, desde la coordinación de promoción socioeconómica contamos con una participación de 1.378 integrantes de la comunidad unilibrista, entre estudiantes, docentes, personal administrativo y egresados con un resultado de impacto del 33,68%
Llevando a cabo desde la coordinación de promoción socioeconómica actividades presenciales, como:
1. Campañas lúdica de seguridad vial.
2. Estudiantes impactados en la Inducción en pregrado.
3. Estudiantes de Inducción en Posgrados.
4. Noche de la excelencia
5. Noche de la pertenencia
6. Proyecto "Unimarket" Red de apoyo a estudiantes y egresados emprendedores
7. Capacitaciones
8. Apoyo logístico</t>
        </r>
      </text>
    </comment>
    <comment ref="D35" authorId="0" shapeId="0">
      <text>
        <r>
          <rPr>
            <b/>
            <sz val="9"/>
            <color indexed="81"/>
            <rFont val="Tahoma"/>
            <family val="2"/>
          </rPr>
          <t xml:space="preserve">Gloria Amparo Sanchez:
Rango bueno 80%-70% buscar acciones </t>
        </r>
      </text>
    </comment>
    <comment ref="E35" authorId="1" shapeId="0">
      <text>
        <r>
          <rPr>
            <b/>
            <sz val="9"/>
            <color indexed="81"/>
            <rFont val="Tahoma"/>
            <family val="2"/>
          </rPr>
          <t>Gloria A. Sanchez M.:</t>
        </r>
        <r>
          <rPr>
            <sz val="9"/>
            <color indexed="81"/>
            <rFont val="Tahoma"/>
            <family val="2"/>
          </rPr>
          <t xml:space="preserve">
Para la vigencia del año 2022, Se cumple la meta estándar nacional "Ejecutar el 80% de las actividades establecidas en el Plan Anual de Trabajo" , obteniéndose un resultado del 92,47%. De un total de 146 actividades programadas en el plan anual de trabajo (PAT) de Bienestar Universitario, 135 fueron ejecutadas, las 11 que no se ejecutaron, se debió a ajustes presupuestales, y se volvieron a programar para la vigencia 2023:
Las actividades programadas y ejecutadas, se distribuyen por áreas, así:
Salud: de 20 actividades propuestas realiza 17
Desarrollo Humano: de 12 ejecuta 11
Deportes: de 9 realiza 7
Cultura: de 15 realiza 11
Promoción socioeconómica: de 11 realiza 9
Programa de Permanecía y Graduación Estudiantil con Calidad (PPGEC): de 40 actividades programas realiza 41
Egresados: de 39 actividades programadas, se realiza el 100%</t>
        </r>
      </text>
    </comment>
    <comment ref="E36" authorId="1" shapeId="0">
      <text>
        <r>
          <rPr>
            <b/>
            <sz val="9"/>
            <color indexed="81"/>
            <rFont val="Tahoma"/>
            <family val="2"/>
          </rPr>
          <t>Gloria A. Sanchez M.:</t>
        </r>
        <r>
          <rPr>
            <sz val="9"/>
            <color indexed="81"/>
            <rFont val="Tahoma"/>
            <family val="2"/>
          </rPr>
          <t xml:space="preserve">
Para la vigencia del año 2022, desde la Dirección de Bienestar Universitario se cumple con la meta de ejecutar el 2% del presupuesto de la seccional Pereira.
El Presupuesto total ejecutado por Bienestar Universitario fue de $739.000.000 y el ejecutado en la seccional Pereira fue de $37.018.000.000 equivalente al 2%. De un total de 146 actividades programas, se ejecutaron 135, de las cuales algunas requerían de presupuesto y otras con los mismo recursos de la universidad.</t>
        </r>
      </text>
    </comment>
    <comment ref="E37" authorId="1" shapeId="0">
      <text>
        <r>
          <rPr>
            <b/>
            <sz val="9"/>
            <color indexed="81"/>
            <rFont val="Tahoma"/>
            <family val="2"/>
          </rPr>
          <t>Gloria A. Sanchez M.:</t>
        </r>
        <r>
          <rPr>
            <sz val="9"/>
            <color indexed="81"/>
            <rFont val="Tahoma"/>
            <family val="2"/>
          </rPr>
          <t xml:space="preserve">
Se cumple la meta nacional, obteniéndose en la seccional el 2.28% en el primer semestre del 2022, desde las secretarías académicas por reglamento estudiantil, se hizo entrega de 92 becas a los estudiantes que cumplen requisitos para matricula de honor.
Para el segundo semestre se está trabajando con la presidencia y la sindicatura seccional en el proceso de selección de los estudiantes en estado de vulnerabilidad brindarles el auxilio del 90% del valor del almuerzo. De acuerdo a lo anterior, se creó un procedimiento seccional.</t>
        </r>
      </text>
    </comment>
    <comment ref="K37" authorId="1" shapeId="0">
      <text>
        <r>
          <rPr>
            <b/>
            <sz val="9"/>
            <color indexed="81"/>
            <rFont val="Tahoma"/>
            <family val="2"/>
          </rPr>
          <t>Gloria A. Sanchez M.:</t>
        </r>
        <r>
          <rPr>
            <sz val="9"/>
            <color indexed="81"/>
            <rFont val="Tahoma"/>
            <family val="2"/>
          </rPr>
          <t xml:space="preserve">
Para el segundo semestre del año 2022, se cumple la meta nacional, obteniéndose en la seccional el 5,96%. De un total de 244 beneficiados con recursos (Económicos, Tecnológicos, otros), de acuerdo al total de la comunidad uniibrista,  que fue  de 4.092,    distribuidos así:
*  Desde las secretarías académicas por reglamento estudiantil, se hizo entrega de 120 becas a los estudiantes que cumplen requisitos para matricula de honor.
* Se realiza seguimiento y apoyo a 45 estudiantes que ingresan por el programa de Risaralda Profesional.
* Se realiza la entrega del beneficio de almuerzos, en donde se impactan a 23 estudiantes en situación vulnerabilidad en el mes de agosto y 56 estudiantes en el mes de Septiembre de 2022.</t>
        </r>
      </text>
    </comment>
    <comment ref="E38" authorId="1" shapeId="0">
      <text>
        <r>
          <rPr>
            <b/>
            <sz val="9"/>
            <color indexed="81"/>
            <rFont val="Tahoma"/>
            <family val="2"/>
          </rPr>
          <t>Gloria A. Sanchez M.:</t>
        </r>
        <r>
          <rPr>
            <sz val="9"/>
            <color indexed="81"/>
            <rFont val="Tahoma"/>
            <family val="2"/>
          </rPr>
          <t xml:space="preserve">
Durante el primer semestre de  2022  no se cumplió la meta del 2% de los egresados que participaron en actividades institucionales y/o académicas, se obtuvo un resultado de 0,72%, con una participación de 167 egresados  frente al total de  23256 egresados. 
Se realizaron 39 eventos,  con un cumplimiento en la ejecución de actividades frente a lo planeado de un 100% (Pregrado:  15760  y Posgrado:  7496) egresados (incluye los fallecidos) en la presente vigencia 2022-1
Las actividades realizadas con egresados son resultado de un trabajo en  equipo con las Facultades, bienestar y el área de egresados.</t>
        </r>
      </text>
    </comment>
    <comment ref="K38" authorId="1" shapeId="0">
      <text>
        <r>
          <rPr>
            <b/>
            <sz val="9"/>
            <color indexed="81"/>
            <rFont val="Tahoma"/>
            <family val="2"/>
          </rPr>
          <t>Gloria A. Sanchez M.:</t>
        </r>
        <r>
          <rPr>
            <sz val="9"/>
            <color indexed="81"/>
            <rFont val="Tahoma"/>
            <family val="2"/>
          </rPr>
          <t xml:space="preserve">
Durante el segundo semestre del año 2022 se realizaron 48 eventos en los cuales participaron 432 egresados de las diferentes disciplinas, de un total 24,184 en la Seccional, con un porcentaje de cumplimiento del 1,79, no se cumplió la meta estándar del 2%, sin embargo mejoró el resultado para este período con respecto al periodo anterior, cumpliéndose con el rango bueno.
Las actividades realizadas con egresados son resultado de un trabajo en equipo con las Facultades, Bienestar Universitario y la Oficina de Egresados, además de lo anterior, el Área de Egresados conjuntamente con el Tribunal Superior de Pereira, realizó un encuentro denominado "Especialidad Civil y de Familia", con una participación de 82 egresados, dato estadístico que está incluido en el número de egresados participantes en los eventos.
Como oportunidad de mejora, se continuará incentivando a los egresados en la participación de eventos</t>
        </r>
      </text>
    </comment>
    <comment ref="E39" authorId="1" shapeId="0">
      <text>
        <r>
          <rPr>
            <b/>
            <sz val="9"/>
            <color indexed="81"/>
            <rFont val="Tahoma"/>
            <family val="2"/>
          </rPr>
          <t>Gloria A. Sanchez M.:</t>
        </r>
        <r>
          <rPr>
            <sz val="9"/>
            <color indexed="81"/>
            <rFont val="Tahoma"/>
            <family val="2"/>
          </rPr>
          <t xml:space="preserve">
Para este primer semestre del año 2022, se registraron 68 egresados activos en la plataforma "Talento Unilibrista". No obstante, mientras no se logre mejorar la cultura de vinculación tanto de postulantes como de empresas oferentes, se continuará realizando de forma manual la intermediación laboral. Durante 2022-1 se recibieron y difundieron a través de correo electrónico 70 vacantes de empresas solicitantes.
Se reciben las hojas de vida de los profesionales egresados de la Seccional,
Las solicitudes de empresas gestionadas fueron 70
las hojas de vida recibidas fueron : 7
Egresados que hacen parte de a Bolsa de empleo: 68 frente a 23.256 egresados de la seccional con corte a 2022-1
Se trabaja en equipo con la Facultades, el Consultorio Empresarial -Prácticas y Emprendimiento de CEIDEUL.
Se observa un avance positivo con respecto al periodo anterior de egresados activos en la plataforma "Talento Unilibrista", se espera para el segundo periodo incrementar exponencialmente la vinculación tanto de postulantes como de empresas.</t>
        </r>
      </text>
    </comment>
    <comment ref="K39" authorId="1" shapeId="0">
      <text>
        <r>
          <rPr>
            <b/>
            <sz val="9"/>
            <color indexed="81"/>
            <rFont val="Tahoma"/>
            <family val="2"/>
          </rPr>
          <t>Gloria A. Sanchez M.:</t>
        </r>
        <r>
          <rPr>
            <sz val="9"/>
            <color indexed="81"/>
            <rFont val="Tahoma"/>
            <family val="2"/>
          </rPr>
          <t xml:space="preserve">
Para este segundo semestre del año 2022, se registraron 193 egresados activos en la plataforma "Talento Unilibrista". De acuerdo con estrategia implementada en la seccional se han identificado 5 graduados vinculados laboralmente a través de la Bolsa de Empleo, equivalente al 2.59%, cumpliendo con el rango bueno del indicador, como acción de mejora se continuará con la estrategia anteriormente mencionada con el fin de tener el dato real de los graduados efectivamente vinculados, ya que el software no arroja esta información.
Se ha difundido a través de correos electrónicos, WhatsApp, la información sobre la bolsa de Empleo, sin embargo, se continúa enviando las ofertas laborales a los correos electrónicos de los egresados, mientras se fortalece el uso del sistema por parte de egresados y de estudiantes.
Durante el segundo semestre de 2022 se empezó a implementar la recepción de las hojas de vida, para posteriormente enviarla a las empresas solicitantes, esto con el fin de llevar la trazabilidad de oferta, demanda y empleabilidad, como mecanismo de actualización de datos en el sistema Adviser.
Las solicitudes de empresas gestionadas fueron: 77 (fueron tramitadas también por correo electrónico).
Hojas de vida recibidas : 30
Se trabaja en equipo con la Facultades, el Consultorio Empresarial -Prácticas y Emprendimiento de CEIDEUL.
La plataforma "Talento Unilibrista" no genera reporte por seccional, por lo cual se hizo la solicitud a Sandra Castellanos de Qdit, quien se encuentra gestionando el desarrollo de la aplicación, de tal modo que cada seccional pueda generar estadísticas.</t>
        </r>
      </text>
    </comment>
    <comment ref="E40" authorId="1" shapeId="0">
      <text>
        <r>
          <rPr>
            <b/>
            <sz val="9"/>
            <color indexed="81"/>
            <rFont val="Tahoma"/>
            <family val="2"/>
          </rPr>
          <t>Gloria A. Sanchez M.:</t>
        </r>
        <r>
          <rPr>
            <sz val="9"/>
            <color indexed="81"/>
            <rFont val="Tahoma"/>
            <family val="2"/>
          </rPr>
          <t xml:space="preserve">
En la Seccional se obtuvo un resultado de 46,21% en la actualización de la base de datos de egresados (acumulativa). Durante el primer semestre del año 2022, se realizó actualización de 484 datos de egresados, de un total de 10.746, este dato estadístico corresponde a la cantidad por cada egresado que tiene actualizado sus datos. Los 13.792 reportados en la vigencia 2021, es mayor debido a que se reportó por cantidad de correos en la base de datos, (cada egresado puede tener dos o más correos registrados). Lo anterior, teniendo en cuenta que la población de egresados para el 2022-1 fue de 23.256 en bases de datos que reposa en la oficina de egresados, la cual se actualiza con información recibida por registro y control (dato que es reportado por el aplicativo SINU - egrf09). El dato por cada modalidad se toma de la Base de Egresados de la siguiente manera: (Pregrado: 7452, Especialización: 2,946, Maestría: 377, Tecnología Inv Criminal 27) (incluye los egresados fallecidos), la actualización se realiza a través de las siguientes fuentes de información: link de la página web, aplicación de encuesta, realización de eventos, también se actualiza incluyendo en la base los nuevos egresados remitidos por registro y control, contacto directo y Adviser.
Es importante informar que a partir del 2021-2, se implementó para todo el país, el sistema de adviser para la actualización de egresados: Se actualizaron por este medio 279 para 2022-1 (Total egresados desde su inicio en el periodo anterior 390 2021-2 111)</t>
        </r>
      </text>
    </comment>
    <comment ref="K40" authorId="1" shapeId="0">
      <text>
        <r>
          <rPr>
            <b/>
            <sz val="9"/>
            <color indexed="81"/>
            <rFont val="Tahoma"/>
            <family val="2"/>
          </rPr>
          <t>Gloria A. Sanchez M.:</t>
        </r>
        <r>
          <rPr>
            <sz val="9"/>
            <color indexed="81"/>
            <rFont val="Tahoma"/>
            <family val="2"/>
          </rPr>
          <t xml:space="preserve">
Durante el segundo semestre del año 2022 se realizó actualización de 553 datos de egresados, obteniéndose un total de 11.299 , siendo mayor la actualización llevada a cabo entre octubre y diciembre, meses en los cuales se empezó a implementar el uso del WhatsApp y se realizó una mayor difusión del Sistema Adviser, envío de correos electrónicos, fijación en las carteleras de las Facultades del Código QR, tanto de Adviser como de la Bolsa de Empleo.
La base de datos de Egresados se actualiza inicialmente , con la información reportada por la oficina de Registro y Control, según las fechas de grados; la cual no está incluida dentro de las estadísticas de actualización, sino en el total de Graduados, posteriormente se envía correo electrónico a cada uno de los egresados con el fin de darles a conocer los beneficios que la Universidad les ofrece, adjuntando el código QR y el link para que se registren; desde el momento en que se inicia la comunicación con el(a) graduado(a), se actualiza el archivo en Excel (BDD 1974), y en el caso en que el registro lo haga directamente en la plataforma Adviser, automáticamente se genera un archivo plano con el cual se procede a la actualización de la misma base BDD 1974 . Además, se actualiza con los datos de listas de asistencia a diferentes eventos, donde se filtra los egresados por WhatsApp y correo electrónico se envía la información para las respectivas (actualizaciones).
Comparativamente con el semestre anterior, se obtuvo un incremento del 25% en las actualizaciones, correspondiente a que se ha logrado mayor culturización en el uso del sistema Adviser, el cual se empezó a implementar a partir del año 2021-2; para dicho periodo 205 egresados se registraron, lo que representa un crecimiento en el uso del sistema de un 269%, gracias a las campañas realizadas a través del micrositio, el WhatsApp, los correos electrónicos y la atención personalizada.
Desde la Coordinación de Egresados y con el apoyo del Presidente y Rector Seccional, se empezará a implementar a partir del año 2023 como requisito de grado, tanto de pregrado como de posgrado, el registro en Adviser, junto con el diligenciamiento de la encuesta OLE, esto significa que a partir del próximo año, el sistema estará actualizado simultáneamentecon la oficina de Registro y Control, facilitando el acceso y actualización de la información.</t>
        </r>
      </text>
    </comment>
    <comment ref="E41" authorId="1" shapeId="0">
      <text>
        <r>
          <rPr>
            <b/>
            <sz val="9"/>
            <color indexed="81"/>
            <rFont val="Tahoma"/>
            <family val="2"/>
          </rPr>
          <t>Gloria A. Sanchez M.:</t>
        </r>
        <r>
          <rPr>
            <sz val="9"/>
            <color indexed="81"/>
            <rFont val="Tahoma"/>
            <family val="2"/>
          </rPr>
          <t xml:space="preserve">
Se incumple la meta nacional del 2%, obteniéndose un resultado en la seccional del 0,30%. lo anterior fue por la participacion de 70 egresados actividades realizadas en el área de deportes del proceso de Bienestar Universitario frente al total de 23256 egresados . En primer semestre de 2022, se realizaron 4 eventos; allí, se generan espacios de encuentros y diálogo con este importante estamento.
Al invitar a los egresados a participar de los eventos deportivos, artísticos, académicos y culturales, en unión con los demás Unilibristas, se les invita también a ?vivir la vida universitaria? y a ser parte del mejoramiento continuo y del crecimiento de la Universidad en forma activa apoyando los proyectos institucionales.</t>
        </r>
      </text>
    </comment>
    <comment ref="K41" authorId="1" shapeId="0">
      <text>
        <r>
          <rPr>
            <b/>
            <sz val="9"/>
            <color indexed="81"/>
            <rFont val="Tahoma"/>
            <family val="2"/>
          </rPr>
          <t>Gloria A. Sanchez M.:</t>
        </r>
        <r>
          <rPr>
            <sz val="9"/>
            <color indexed="81"/>
            <rFont val="Tahoma"/>
            <family val="2"/>
          </rPr>
          <t xml:space="preserve">
En el segundo semestre del año 2022, participaron en lasa actividades de bienestar 218 egresados, de un total de 24184 equivalente al 0.90%. Con respecto al periodo anterior se puede observar un aumento significativo pasando de 70 a 218 egresados participantes, es importante destacar que el personal administrativo que es egresado de la Universidad fue tenido en cuenta en las estadísticas de Bienestar Universitario.
Bienestar Universitario
? Área egresados:110
? Área de salud: 8
? Área Desarrollo humano: 3
? Área PPC: No hubo reporte
? Área Deportes: 15
? Área cultura: 82
? Área promoción socioeconómica: No hubo reporte
Las invitaciones a participar en los diferentes eventos son enviadas vía correo electrónico a todo los graduados sin excepción, al igual que la promoción de los beneficios.</t>
        </r>
      </text>
    </comment>
    <comment ref="D42" authorId="0" shapeId="0">
      <text>
        <r>
          <rPr>
            <b/>
            <sz val="9"/>
            <color indexed="81"/>
            <rFont val="Tahoma"/>
            <family val="2"/>
          </rPr>
          <t>Gloria Amparo Sanchez:</t>
        </r>
        <r>
          <rPr>
            <sz val="9"/>
            <color indexed="81"/>
            <rFont val="Tahoma"/>
            <family val="2"/>
          </rPr>
          <t xml:space="preserve">
RANGO BUENO: 70% -80%</t>
        </r>
      </text>
    </comment>
    <comment ref="E42" authorId="1" shapeId="0">
      <text>
        <r>
          <rPr>
            <sz val="7"/>
            <color theme="1"/>
            <rFont val="Arial"/>
            <family val="2"/>
          </rPr>
          <t xml:space="preserve">AÑO 2022: Se cumple la meta nacional, donde el resultado en la ejecución de las 17 actividades programadas en los proyectos 21 y 22 del PIDI fue en promedio del 94,12%, distribuidas así: 
Proyecto 21: 5 acciones y 11 actividades --- 97% de cumplimiento
Proyecto 22:  4 acciones y 6 Actividades---- 93% cumplimiento
Las actividades desarrolladas  en cada uno de los proyectos fueron: 
Proyecto 21
1. Acompañamiento a los procesos para realizar ajustes a los documentos por solicitudes de cambio.
2. Actualizar anualmente la herramienta de comunicaciones por los 16 procesos del SGC para identificar las comunicaciones internas y externas que se realizan en los procesos y evaluar su efectividad a través del plan de comunicación institucional.
3. Integrar las 4 facultades de la Seccional al SGC
4. Realizar las auditorías internas y externas para verificar el cumplimiento de normatividad y satisfacción del cliente.
5. Formular, implementar y hacer seguimiento al cierre eficaz de acciones correctivas y/o acciones de mejoramiento y registrar la información en el Sistema de Información de Calidad KAWAK.
6. Identificar nuevos cambios que afecten positiva o negativamente la universidad en cada uno de los procesos y las actividades para su ejecución.
7. Identificar nuevos riesgos y oportunidades de mejora para mitigarlos y/o controlarlos – Hacer seguimiento a la implementación de acciones
8. Realizar seguimiento al registro y cumplimiento de indicadores de gestión y acuerdos de servicio.
9. Realizar Revisión Gerencial anual como rendición de cuentas del estado de los procesos.
10. Elaborar y realizar cronogramas de acompañamiento con los procesos con el fin de sostenimiento y mantenimiento del SGC.
11. Formular e implementar acciones de mejora en cada uno de los procesos de acuerdo con resultados de auditoria externa
Proyecto 22
1. Formular e implementar oportunidades de mejora para la vigencia 2022 en cada uno de los procesos, que impacten positivamente la Universidad en cada uno de ellos.
2. Realizar acompañamientos y capacitaciones a los líderes de proceso y equipos de trabajo relacionados al SGC:
• Gestión del riesgo 
• Gestión del cambio
• Gestión de la comunicación
• Indicadores 
• Auditorias internas
• Oportunidades de mejora
• Revisión gerencial
3. Seguimiento a la elaboración e implementación del plan de incentivos.
4. Formular e implementar oportunidades de mejora de acuerdo a resultados de encuesta de satisfacción aplicada en noviembre y diciembre de 2021
5. Continuar con el seguimiento a la atención a peticiones, quejas, reclamos y denuncias (PQRSD) generando acciones correctivas o de mejora.
6. Continuar realizando seguimiento, control y medición a las calificaciones del servicio y servicios no conformes.
</t>
        </r>
      </text>
    </comment>
    <comment ref="D44" authorId="0" shapeId="0">
      <text>
        <r>
          <rPr>
            <b/>
            <sz val="9"/>
            <color indexed="81"/>
            <rFont val="Tahoma"/>
            <family val="2"/>
          </rPr>
          <t>Gloria Amparo Sanchez:</t>
        </r>
        <r>
          <rPr>
            <sz val="9"/>
            <color indexed="81"/>
            <rFont val="Tahoma"/>
            <family val="2"/>
          </rPr>
          <t xml:space="preserve">
RANGO BUENO: 0,20</t>
        </r>
      </text>
    </comment>
    <comment ref="E44" authorId="1" shapeId="0">
      <text>
        <r>
          <rPr>
            <b/>
            <sz val="9"/>
            <color indexed="81"/>
            <rFont val="Tahoma"/>
            <family val="2"/>
          </rPr>
          <t>Gloria A. Sanchez M.:</t>
        </r>
        <r>
          <rPr>
            <sz val="9"/>
            <color indexed="81"/>
            <rFont val="Tahoma"/>
            <family val="2"/>
          </rPr>
          <t xml:space="preserve">
2022-1: Se cumplió la meta estándar nacional "Máximo que el 20% de las quejas del semestre sean recurrentes.". Durante el primer semestre de 2022,  de un total de 60 PQRSD, se presentaron 3 recurrentes, equivalente al 5,00%, por las siguientes razones:  Inconformidad en los nuevos horarios del gimnasio muy restringidos, solicitud de techos en entradas a sitios de Belmonte y  por la falta de cafetería en el edificio de posgrados (mes de mayo) </t>
        </r>
      </text>
    </comment>
    <comment ref="K44" authorId="1" shapeId="0">
      <text>
        <r>
          <rPr>
            <b/>
            <sz val="9"/>
            <color indexed="81"/>
            <rFont val="Tahoma"/>
            <family val="2"/>
          </rPr>
          <t>Gloria A. Sanchez M.:</t>
        </r>
        <r>
          <rPr>
            <sz val="9"/>
            <color indexed="81"/>
            <rFont val="Tahoma"/>
            <family val="2"/>
          </rPr>
          <t xml:space="preserve">
2022-2: Se cumplió la meta estándar nacional "Máximo que el 20% de las quejas del semestre sean recurrentes.". Durante el segundo semestre de 2022,  de un total de 51 PQRSD, se presentaron 3 recurrentes, equivalente al 5,88%, por las siguientes razones:  1 Queja recurrrente   por falta de aire acondicionado de la biblioteca  de Belmonte  no funciona  y por  Iluminarias malas en la Biblioteca de la sede Belmonte - Estudiante de ingeniería civil - Queja por servicios de cafetería en posgrados  . </t>
        </r>
      </text>
    </comment>
    <comment ref="D45" authorId="0" shapeId="0">
      <text>
        <r>
          <rPr>
            <b/>
            <sz val="9"/>
            <color indexed="81"/>
            <rFont val="Tahoma"/>
            <family val="2"/>
          </rPr>
          <t>Gloria Amparo Sanchez:</t>
        </r>
        <r>
          <rPr>
            <sz val="9"/>
            <color indexed="81"/>
            <rFont val="Tahoma"/>
            <family val="2"/>
          </rPr>
          <t xml:space="preserve">
RANGO BUENO: 80% - 90%</t>
        </r>
      </text>
    </comment>
    <comment ref="E45" authorId="1" shapeId="0">
      <text>
        <r>
          <rPr>
            <sz val="9"/>
            <color indexed="81"/>
            <rFont val="Tahoma"/>
            <family val="2"/>
          </rPr>
          <t xml:space="preserve">2022-1: Durante el primer semestre de 2022 , a través de la página web de la Universidad (KAWAK), se  presentaron 60  PQRSD en los procesos;  de los cuales 40 fueron quejas y Derechos de petición,  18  solicitudes y/o peticiones o requerimientos Y 2 FELICITACIONES:,  las cuales se tramitaron a través del software KAWAK, 51 se respondieron en el tiempo establecido equivalente al 85%,   57 PQRSD se cerraron  (95%),   3 están en proceso (5%)  por techos que solicitan instalar en belmonte y que se tienen presupuestados para la vigencia 2023 )  y 3  fueron recurrentes (5%) por inconformidad en los nuevos horarios del gimnasio muy restringidos, solicitud de techos en entradas a sitios de Belmonte y  por la falta de cafetería en el edificio de posgrados (mes de mayo) . Las Tutelas se responden a través de la Secretaría Seccional y los Derechos de petición los respondieron los líderes de proceso respectivos  y se registran posteriormente en el kawak por cada una de las áreas académicas y administrativas
DOCENCIA
* Faculta de Derecho Ciencias Políticas y Sociales
1. Queja para aclaración de nota
2. Solicitud de documentación enviada para el proceso de homologación optativa IV de quinto año de derecho
3. Solicitud de situación académica y plan de trabajo
4. D.P. Autorización para ver módulo de control de legalidad que debo aprobar, como prerrequisito para optar al grado de especialista en Derecho urbano gestión y planeamientos inmobiliarios
5.- 6 Queja. Docente no garantiza el derecho a presentar un parcial teniendo un problema médico
7. Solicitud información de preparatorio
8. Reitero de solicitud de autorización para realizar posgrado como opción de grado
9. Solicitud de información Opciones de grado
10. D. Petición: Solicitud entrega de documentos del Dr. Eduardo Humberto Sanz Gutiérrez para proceso investigativo
* Facultad de Ciencias de la Salud, Exactas y Naturales
11. Queja por demora Ingreso al sistema de información dosis refuerzo Mi Vacuna
12. Demora en Certificado de prácticas programa de Enfermería
* Esp Derecho del trabajo pensiones y riesgos laborales
13. Felicitaciones director programa especialización derecho del trabajo pensiones y riesgos laborales
* Esp. Derecho Urbano, Gestión y planeamientos inmobiliarios
14. Petición alternativas asistencia clases Esp. Derecho Urbano, Gestión y planeamientos inmobiliarios
* Maestría en Derecho administrativo:
15. Solicitud de programación de módulo y fecha de grado
GESTIÓN DE ADMISIONES Y REGISTROS
* Queja por Inconveniente de inscripción
* Queja por Demora en la entrega o envió de contenidos de materias solicitados
* Solicitud información Verificación de título
* Solicitud de información para solicitar siguientes documentos que requiere por tramite que debo realizar para viaje al extranjero
* Solicitud de validación de acta de grado Especialista en salud ocupacional, gerencia y control de riesgos
* Mi inscripción no deja culminarla especialización en derecho procesal
GESTIÓN DE SERVICIOS GENERALES
* Queja por falta de techo peatonal sede Belmonte
* Mantenimiento por goteo en salón 301 de posgrados
* Solicitud de mesa de bebidas en aula de postgrado Alta Gerencia
* Petición instalación techo: Adecuar el camino desde la portería de Belmonte hasta el bloque de laboratorio
INVESTIGACIONES
* Solicitud de Investigación y propuesta de Proyecto de Ley: Pérdida de bienes raíces a causa de la violencia armada y las guerras
* Derecho de petición: Solicitud información frente a la convocatoria joven investigador
DIRECCIÓN ESTRATÉGICA
* 1. D.P. Solicitud de información sobre costo de servicios contratados
* Invitación al ?1er foro DIVERSIDAD como motor del desarrollo turístico de la región"
* Devolución de Dinero de matrícula para ingresar a Administración de empresas
GESTIÓN HUMANA
1. D.P. Solicitud copia de expediente (Enviado por correo electrónico)
2. D.P. Solicitud de certificación electrónicos de tiempos laborados (Enviado por correo electrónico)
3. Derecho de petición semanas aportadas al sistema pensional
4. D. Petición: Solicitud entrega de documentos del Dr. Eduardo Humberto Sanz Gutiérrez para proceso investigativo
GESTIÓN DE INFORMÁTICA
1. Queja por no alistamiento de equipo y demora en el inicio del portátil
2. Queja por correos peligrosos
3. Solicitud de ayuda problemas de autenticación correo institucional
PROYECCIÓN SOCIAL
* Consultorio Jurídico y centro de conciliación
1. Solicitud de asesoría jurídica y psicológica
2. Necesito me recomiende un Abogado Penalista. He sido estafada mediante Tarjeta de Crédito.
BIENESTAR UNIVERSITARIO
1. Solicitud información Proyecto Circulo virtuoso (Bolsa de empleo)
2. D.P. para modificación horario o extender del gimnasio (Enfermería)
3. D.P. para modificación horario o extender del gimnasio (Ing Civil)
4. D.P. para modificación horario o extender del gimnasio (Ing Comercial)
5. D.P. para modificación horario o extender del gimnasio (Ing Civil)
6. D.P. para modificación horario o extender del gimnasio (Ing Civil)
7. D.P. para modificación horario o extender del gimnasio (Ing Civil)
8. D.P. para modificación horario o extender del gimnasio (Derecho)
9. D.P. para modificación horario o extender del gimnasio (Ing Civil)
10. D.P. para modificación horario o extender del gimnasio (Ing Civil)
11. D.P. para modificación horario o extender del gimnasio (Ing Civil)
12. D.P. para modificación horario o extender del gimnasio (Ing Civil)
13. Derecho de petición para modificación horario o extender del gimnasio (Ing Civil)
14. D.P. para modificación horario o extender del gimnasio (Ing Civil)
15. D.P. para modificación horario o extender del gimnasio (Ing Civil)
16. Requerimiento Ampliación de horario del gimnasio - Facultad de Ciencias económicas, administrativas y contables
17. Sugerencia acciones de mejora: Cafetería, baños, parqueadero
18 Queja y Solicitud habilitación de Cafetería edificios posgrados - Especialización en Derecho Procesal
19. Precios altos de la Cafetería - Estudiante de Ing. Comercial
20. Solicitud Cafetería en posgrados - Especialización Laboral , Pensiones y Riesgos para modificación horario o extender del gimnasio (Ing Civil)
14. D.P.  para modificación horario o extender del gimnasio (Ing Civil)
15. D.P.  para modificación horario o extender del gimnasio (Ing Civil)
16. Requerimiento Ampliación de horario del gimnasio -  Facultad de Ciencias económicas, administrativas y contables
17. * Sugerencia acciones de mejora: Cafetería, baños, parqueadero
18 Queja y Solicitud habilitación de Cafetería edificios posgrados - Especialización en Derecho Procesal
19. Precios altos de la Cafetería - Estudiante de Ing. Comercial
20. Solicitud Cafetería en posgrados - Especialización Laboral , Pensiones y Riesgos
</t>
        </r>
      </text>
    </comment>
    <comment ref="K45" authorId="1" shapeId="0">
      <text>
        <r>
          <rPr>
            <b/>
            <sz val="9"/>
            <color indexed="81"/>
            <rFont val="Tahoma"/>
            <family val="2"/>
          </rPr>
          <t>Gloria A. Sanchez M.:</t>
        </r>
        <r>
          <rPr>
            <sz val="9"/>
            <color indexed="81"/>
            <rFont val="Tahoma"/>
            <family val="2"/>
          </rPr>
          <t xml:space="preserve">
SEGUNDO SEMESTRE:  Durante el segundo semestre de 2022 , a través de la página web de la Universidad (KAWAK), se han presentado 51 PQRSD en los procesos;  de los cuales 32 han sido quejas y Derechos de petición,  18  solicitudes y/o peticiones o requerimientos y 1 felicitación:, las cuales se tramitaron a través del software KAWAK, 43 se respondieron en el tiempo establecido equivalente al 84%,   51 PQRSD se cerraron  (100%),   en proceso (0%) y 3  han sido recurrentes (6%) 1 Queja recurrente   por falta de aire acondicionado de la biblioteca  de Belmonte  no funciona  y por  Iluminarias malas en la Biblioteca de la sede Belmonte - Estudiante de ingeniería civil - Queja por servicios de cafetería en posgrados  . Las Tutelas se responden a través de la Secretaría Seccional y los Derechos de petición los respondieron los líderes de proceso respectivos y se registran posteriormente en el kawak por cada una de las áreas académicas y administrativas
1. DOCENCIA
* Facultad de Ciencias Económicas, administrativas y contables
   Revisión traslado sin respuesta desde el 27 de mayo (Administración de empresas)
Facultad de Derecho Ciencias políticas y sociales
* Derecho de petición a fin de validar los requisitos de grado; certificación segunda lengua programa de Derecho
* Me he pasado varios momentos insistiendo la contestación de una llamada y ha sido fracasado el intento. Por eso de manera respetuosa le solicitó a quien corresponda que no dejes la costumbre de la comunicación vía telefónica es la más asertiva da más celeridad en los procesos y para los usuarios es mayor y mejor la claridad la información.
* Requisito 2a. Lengua JACKSON ALEJANDRO PELAEZ CASTAÑEDA. Maestría en Derecho Penal
* Solicitud programa de formación continuada (Diplomado en conciliación y en Docencia universitaria para monitores – programa de Derecho)
* Derecho de petición:  Solicitud de corrección de nota con profesor diferente al que dio la materia
Facultad de Ingenierías
* Denuncia contra el profesor CESAR AUGUSTO GIRALDO, del programa ingeniería civil Seccional Pereira, por la constancia de abusos
*  No ha recibido respuesta de la denuncia contra el profesor CESAR AUGUSTO GIRALDO, del programa ingeniería civil Seccional Pereira, por la constancia de abusos
Facultad de ciencias de la salud exactas y naturales
*  Ausencia de una opción dentro de la página (Micro currículos)
* Queja porque no la han dado información sobre revisión carga dosis de vacunación
Especialización de derecho procesal probatorio y oralidad
* Queja contra Ángela María Henao Mejía - especialización de derecho procesal probatorio y oralidad cohorte 11
2. GESTIÓN DE ADMISIONES Y REGISTROS
*  No se me dejó inscribir materias de manera oportuna (Derecho semestral izado)
* Solicitud de Certificación de reporte del grado ante el Ministerio de Educación Nacional
3. GESTIÓN FINANCIERA
* La tesorería no realizó el trabajo pertinente con el ICETEX (Derecho semestral izado)
* Reclamo Beca
4. PROYECCIÓN SOCIAL
* Derecho de petición: Desde hace tiempo atrás solicite en medió en consultorio Jurídico para que ayudará en temas relacionados en interponer una RECURSO DE acción de Tutela y nunca se comunicaron conmigo
* Solicitud de información sobre relación de todos y cada uno de los estudiantes de la universidad libre de la ciudad de Pereira que hicieron consultorio jurídico, en la vigencia 2019, y a los que les fue autorizado o avalado la práctica al interior del Establecimiento Penitenciario de Mediana Seguridad y Carcelario de SANTA ROSA DE CAVAL como
requisito de grado para obtener el título de abogado
* Desde el día 7 diciembre a tratado de comunicarse para Revisión casos consultorio jurídico
5.  DIRECCIÓN ESTRATÉGICA
* Solicitud Beca especialización de Administración Financiera
* D.P. Articulo 23 CP: Solicitud información sobre contrato de mantenimiento arreglos Biblioteca - Sede Centro
* D.P. Solicitud de información de Eco ciudadano sobre el manejo del acoso en la Unilibre
6.  BIENESTAR UNIVERSITARIO
* Solicitud Cafetería en posgrados - Especialización en SEGURIDAD Y SALUD EN EL TRABAJO Y GERENCIA CONTROL DE RIESGOS
* (2) Solicitud información de asistencia a inducción estudiantes de Lucy Ivonne Benavides
* Área de Egresados:  Queja no entrega carnet de egresado del programa de Derecho
*Solicitud de información Bolsa de empleo
* (7) Queja servicio de cafetería en Posgrados - Especialización en Seguridad y Salud en el trabajo
7. INVESTIGACIÓN:
• Derecho de petición -Solicitud de evaluaciones docentes 2020 al 2022 y reconocimiento por clasificación como investigador (Facultad de Ciencias Económicas, administrativas y contables)
• Derecho de petición - Solicitud información sobre convocatoria de jóvenes investigadores 2021 
8. INTERNACIONALIZACIÓN:
*Solicitud de intercambio académico en la Universidad Autónoma de Chiapas- Programa de trabajo social
9. GESTIÓN DE BIBLIOTECA
Comodidades biblioteca
10.  SERVICIOS GENERALES
* Falta de aire acondicionado en la Biblioteca - Ingeniería civil
* Falta de aire acondicionado en la Biblioteca - Ingeniería civil
* Aire acondicionado de biblioteca no funciona - Ingeniería civil
* Aire acondicionado de biblioteca- Ingeniería civil
*  Inconformidad por falta de aire acondicionado en la Biblioteca de Belmonte
* Queja por falta de aire acondicionado de la biblioteca no funciona
* (3) Iluminarias malas en la Biblioteca de la sede Belmonte 
* Solicitud de habilitación de parqueaderos de automóviles sede centro
* Solicitud cargadores eléctricos para bicicletas eléctricas - Ing. Financiera
</t>
        </r>
      </text>
    </comment>
    <comment ref="D46" authorId="0" shapeId="0">
      <text>
        <r>
          <rPr>
            <b/>
            <sz val="9"/>
            <color indexed="81"/>
            <rFont val="Tahoma"/>
            <family val="2"/>
          </rPr>
          <t>Gloria Amparo Sanchez:</t>
        </r>
        <r>
          <rPr>
            <sz val="9"/>
            <color indexed="81"/>
            <rFont val="Tahoma"/>
            <family val="2"/>
          </rPr>
          <t xml:space="preserve">
RANGO BUENO: 70%-80%</t>
        </r>
      </text>
    </comment>
    <comment ref="E46" authorId="1" shapeId="0">
      <text>
        <r>
          <rPr>
            <sz val="9"/>
            <color indexed="81"/>
            <rFont val="Tahoma"/>
            <family val="2"/>
          </rPr>
          <t>2022-1: Se cumplió la meta estándar nacional "Responder dentro del tiempo establecido un 80% del total de quejas recibidas en el período", se obtuvo un resultado de 85,0%  de oportunidad en la respuesta a las PQRSD.  De un Total de 60 PQRSD presentadas en el primer  semestre, 51 de ellas fueron  respondidas  dentro del tiempo establecido.</t>
        </r>
      </text>
    </comment>
    <comment ref="K46" authorId="1" shapeId="0">
      <text>
        <r>
          <rPr>
            <b/>
            <sz val="9"/>
            <color indexed="81"/>
            <rFont val="Tahoma"/>
            <family val="2"/>
          </rPr>
          <t>Gloria A. Sanchez M.:</t>
        </r>
        <r>
          <rPr>
            <sz val="9"/>
            <color indexed="81"/>
            <rFont val="Tahoma"/>
            <family val="2"/>
          </rPr>
          <t xml:space="preserve">
2022-2: Se cumplió la meta estándar nacional "Responder dentro del tiempo establecido un 80% del total de quejas recibidas en el período", se obtuvo un resultado de 84,31%  de oportunidad en la respuesta.  De un Total de 51 PQRSD presentadas en el primer  semestre, 48 de ellas fueron  respondidas  dentro del tiempo establecido.</t>
        </r>
      </text>
    </comment>
    <comment ref="E48" authorId="1" shapeId="0">
      <text>
        <r>
          <rPr>
            <sz val="7"/>
            <color indexed="81"/>
            <rFont val="Tahoma"/>
            <family val="2"/>
          </rPr>
          <t xml:space="preserve">Año 2022: En el primer semestre del año (del 2 al 13 de mayo de 2022) se auditaron los 16 procesos inmersos en el Sistema de Gestión de Calidad (19 áreas teniendo en cuenta cada Facultad), a través de auditorias presenciales y solo Docencia - Facultad de Derecho Ciencias Políticas y Sociales auditada por el Ingeniero Federico García de la Seccional Cali, fue remota. Para la ejecución de las auditorías se contó con 15 auditores activos asignados a los diferentes procesos:
1. Jaime Alonso Vélez Mazo
2. Beatriz Elena Duran Gómez
3. Luis Hernando López Peñarete
4. Juan Manuel Cárdenas Restrepo
5. Luisa Fernanda Hurtado Castrillón
6. Carlos Andrés Mejía Vergara
7. Martha Beatriz Farfán Orozco
8. Gloria Amparo Sánchez Maldonado
9. Jaime Eduardo Uricoechea Bedoya
10. Jorge Enrique Ramírez Rincón
11. Carlos Alberto Atehortúa García
12. Ángela María Arias Toro
13. Claudia Liliana Piedrahita Castaño
14. Federico García López (Seccional Cali)
15. German Bedoya Cardona
16. Endna García Hernández
17. Diana Arango Isaza
Los resultados fueron: 5 hallazgos o no conformidades (NC) y 20 observaciones (OBS) u oportunidades de mejora, por lo cual en el segundo semestre del año, se trabajó con los líderes de proceso y equipos de trabajo en la formulación de 40 acciones de mejora, donde todas se encuentran cerradas equivalente al 100%. de ejecución.
Es importante señalar que a nivel nacional se auditó la norma NTC5906 del Ministerio de justicia con fines de certificación para el Centro de Conciliación del Consultorio Jurídico, a través de los procesos de proyección social, Gestión de servicios generales, gestión documental, gestión humana y gestión de informática.
</t>
        </r>
      </text>
    </comment>
    <comment ref="E49" authorId="1" shapeId="0">
      <text>
        <r>
          <rPr>
            <sz val="7"/>
            <color indexed="81"/>
            <rFont val="Tahoma"/>
            <family val="2"/>
          </rPr>
          <t xml:space="preserve">2022:  Se identificaron 51 cambios en los procesos de tipo:  Normativo: 12 -  Procesos y/o Métodos de Trabajo.: 26 - Tecnológico: 7 - Recurso Humano: 0 - Infraestructura, instalaciones y equipos: 5. Cambio en los servicios:1. Documental 0.   De los anteriores cambios se formularon 153 actividades en el plan de implementación de cambios  de las cuales 149 se han ejecutado, equivalente al 97,39% de cumplimiento.  Lo anterior a través del sistema de información de calidad KAWAK.  Los cambios pendientes por ejecutar al 100%, los cuales continuarán hasta su ejecución durante la vigencia 2023:  
1. Adecuación y puesta en marcha del programa de residuos de posconsumo en la seccional
2. Alistamiento para Certificar la Universidad en la ISO14001:2015
3. Ampliación del lugar de desarrollo del programa de Ingeniería Civil (Obtención resolución de modificación de registro calificado MEN)
4. Dotación tecnológica de los laboratorios especializados de Ing.Comercial, Financiera y Sistemas (Mejorar los procesos de docencia e  investigación)
</t>
        </r>
      </text>
    </comment>
    <comment ref="E50" authorId="1" shapeId="0">
      <text>
        <r>
          <rPr>
            <sz val="9"/>
            <color indexed="81"/>
            <rFont val="Tahoma"/>
            <family val="2"/>
          </rPr>
          <t xml:space="preserve">Año 2022: En la Seccional  durante el año 2022, se  identificaron  21 riesgos y  21  oportunidades para mitigar o eliminar los riesgos de tipo estratégico (3), operativo (10), tecnológico (3), normativo (4) y financiero (1), los cuales se encuentran registrados en el kawak  con un porcentaje de mitigación del 90,48%.  Los dos riesgos que aún se encuentran en proceso de mitigación y que continúan con el plan de tratamiento  son:
1. Riesgo: No acreditación del laboratorio de investigación del programa de Microbiologíaen ISO 17025
2. Riesgo: Que no se obtenga la certificación del centro de conciliación del consultorio jurídico bajo la norma NTC5906 de 2012
</t>
        </r>
      </text>
    </comment>
    <comment ref="E51" authorId="1" shapeId="0">
      <text>
        <r>
          <rPr>
            <sz val="9"/>
            <color indexed="81"/>
            <rFont val="Tahoma"/>
            <family val="2"/>
          </rPr>
          <t xml:space="preserve">Para el año 2022, la satisfacción de la comunidad Unilibrista frente a la calidad de los servicios prestados en la seccional Pereira fue de 286,29%, donde se tuvo en cuenta los siguientes ítems:
*Sumatoria total de la encuesta de satisfacción (1 a 5): 2.020 
*Número de encuestados:  649
*Número de quejas atendidas de manera eficiente (quejas recurrentes, cerradas y respuestas generadas oportunamente): 94
* Número total de PQRDF recibidas en el periodo: 111
* Sumatoria total de la calificación del servicio (1 a 5): 11.630
* Numero de calificaciones del servicio aplicadas a los procesos: 2816
Es importante tener en cuenta que la última encuesta que se ha realizado a nivel nacional fue en el año 2021 con un porcentaje de satisfacción para la seccional del 81%, con respecto a las PQRSDF, se contabilizó tanto las peticiones, quejas, reclamos, requerimientos, denuncias y felicitaciones que se presentaron en cada uno de los procesos, la calificación del servicio fue muy alta de 2816 con un porcentaje de satisfacción del 97,11%, de acuerdo a las herramientas seccionales como:  Link de la página web, mesa de ayuda en sistemas y formato de solicitud de servicio en servicios generales.
</t>
        </r>
      </text>
    </comment>
    <comment ref="E52" authorId="1" shapeId="0">
      <text>
        <r>
          <rPr>
            <b/>
            <sz val="9"/>
            <color indexed="81"/>
            <rFont val="Tahoma"/>
            <family val="2"/>
          </rPr>
          <t>Gloria A. Sanchez M.:</t>
        </r>
        <r>
          <rPr>
            <sz val="9"/>
            <color indexed="81"/>
            <rFont val="Tahoma"/>
            <family val="2"/>
          </rPr>
          <t xml:space="preserve">
Año 2022:  Durante el año 2022, se midieron 20 indicadores de acuerdos de servicio en los procesos administrativos, de los cuales 2 no cumplieron con la meta estándar nacional, pero sí con el rango bueno, equivalente al 90% en los procesos de aseguramiento de la calidad y Gestión Financiera:  Id 642. Aprobación de Documentos en el SIC dentro de los tiempos establecidos por el SIG, se incumplió debido a que en el sistema de kawak se requiere la aprobación y visto bueno por parte del líder de proceso antes del tiempo estipulado en el correo electrónico que envía la sede principal y ello ocasiona discrepancia en los tiempos, lo que no permite que se cumpla con la meta del indicador, como acción de mejora la sede principal envía a las seccionales los pendientes por aprobación con anticipación que contribuye a mejorar el cumplimiento de dichos tiempos y el indicador Id 432. Días Promedio Para el Trámite De Cuentas Giradas y/o Pagadas (Acuerdo), se debió entre otras a  razones como: Por cierre de año se recibieron facturas y documentos soportes desde el mes de noviembre y el pago se realizó en diciembre, por actas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a 30 días. ejemplo: Mantenimiento Ascensores, plantas, purificadores, servicio de vigilancia privada, servicio de Aseo. Las devoluciones de saldo a favor cuentan con un tiempo de 30 días para realizarlas.
Acuerdos Mensuales: 
1. ID 169: Días promedio para el trámite de cuentas por pagar
2. Id 306. Días Promedio para el Trámite de Cuentas Radicadas (Acuerdo) Seccional Pereira
3. Id 307. Días Promedio Para El Trámite de Cuentas Causadas y/o Registradas (Acuerdo). Seccional Pereira
4. Id 432. Días Promedio Para el Trámite De Cuentas Giradas y/o Pagadas (Acuerdo). Seccional Pereira
5. ID 354 Verificación del correcto funcionamiento de los equipos de cómputo al servicio de docentes y estudiantes (acuerdo)  
6. ID 355: Incidentes atendidos a los equipos de cómputo al servicio de docentes y estudiantes (Acuerdo) 
7. ID 353 Atención a requerimientos audiovisuales 
8. ID 193: Servicio de búsqueda y préstamo de Documentos (acuerdo)  
Trimestrales:
Id 642. Aprobación de Documentos en el SIC dentro de los tiempos establecidos por el SIG.
ID 308 Asignación de disponibilidad presupuestal (Acuerdo)  
Semestrales:
1. Id 142. Elaboración y entrega oportuna de las certificaciones y constancias académicas (Acuerdo) 
2. Id 141.Confiabilidad en la información de los certificados (AS)  
3. Id 156.  Días promedio para el Trámite de solicitudes  Compras por rango (Acuerdo)  
4. Id 108.  Atención médica y/o primaria en Enfermería (Acuerdo) 
5. Id 109. Atención Servicio de Psicología (Acuerdo) Seccional Pereira
6. Id 230. Expedición de certificaciones laborales Físicas (Acuerdo) Seccional Pereira
7. ID 380  Servicio de mantenimiento (Acuerdo) 
8. Id 383. Servicio de correspondencia (acuerdo de servicio)
Anuales:  
ID 735 Índice de crecimiento en el número de títulos adquiridos . Seccional Pereira(AS)    
Id 274. Proporción de volúmenes por alumno (AS)   
</t>
        </r>
      </text>
    </comment>
    <comment ref="E53" authorId="1" shapeId="0">
      <text>
        <r>
          <rPr>
            <b/>
            <sz val="9"/>
            <color indexed="81"/>
            <rFont val="Tahoma"/>
            <family val="2"/>
          </rPr>
          <t>Gloria A. Sanchez M.:</t>
        </r>
        <r>
          <rPr>
            <sz val="9"/>
            <color indexed="81"/>
            <rFont val="Tahoma"/>
            <family val="2"/>
          </rPr>
          <t xml:space="preserve">
Durante el año 2022, de un total de 69 indicadores de proceso estándar, se midieron 68 en las áreas académicas y administrativas (pendiente por medir el Id 234. Evaluación del desempeño (Seccional Pereira), de los cuales 4 no cumplieron con la meta estándar nacional, equivalente al 94,12% de cumplimiento, en los procesos de: Bienestar Universitario y Gestión Financiera:  Id 517. Participación de Egresados en Actividades Institucionales y/o Académicas. Sede Pereira - Id 523. Número de Graduados Vinculados en el Mercado Laboral (Mediante la Bolsa de Empleo). Sede Pereira - Id 630. Participación de Egresados en Actividades de Bienestar. Seccional Pereira - ID 301 Precisión en la elaboración del Presupuesto de inversión, en los cuales se están implementando las oportunidades de mejora correspondientes.
Los indicadores de proceso medidos se desagregan por periodicidad, así:
Indicadores de proceso Mensuales (4)
Id 419. Frecuencia de accidentalidad
Id 420. Severidad de accidentalidad
Id 421. Proporción de accidentes de trabajo mortales
ID 352 Atención a solicitudes de mantenimiento correctivo y preventivo de recursos informáticos
Trimestrales (2):
Id 621. Porcentaje de Participación del Personal Administrativo en el Plan de Capacitaciones. Seccional Pereira
Id 628. Nivel de Satisfacción de las Capacitaciones Realizadas. Seccional Pereira
Semestrales (36):
Id 143. Oportunidad en la entrega de notas
Id 157. Oportunidad en la entrega Seccional Pereira
Id 168. Cumplimiento (está relacionado con el grado de consecución de tareas y/o actividades de la auditoría Interna) Seccional Pereira
Id 272. Oportunidad en la inducción
484 - Nivel de consulta de recursos virtuales de las bases de datos de la Seccional Pereira
Id 106. Participación en programas de Salud Seccional Pereira
Id 107. Participación en programas Desarrollo Humano Seccional Pereira
Id 104. Participación en acciones culturales Seccional Pereira
Id 103. Participación en acciones deportivas y recreativas Seccional Pereira
Id 502. Participación en acciones de promoción socio-económica de la Seccional Pereira 
Id 509. Porcentaje de Beneficiados con Recursos (Económicos, Tecnológicos, otros) Seccional Pereira
Id 517. Participación de Egresados en Actividades Institucionales y/o Académicas. Sede Pereira
Id 523. Número de Graduados Vinculados en el Mercado Laboral (Mediante la Bolsa de Empleo). Sede Pereira
Id 529. Actualización de Bases de Datos de Egresados. Sede Pereira
Id 630. Participación de Egresados en Actividades de Bienestar. Seccional Pereira
ID 5 Quejas recurrentes por proceso
ID 6 Quejas cerradas en el período
ID 7 Quejas respondidas dentro del tiempo establecido
Id 304. Eficacia del recaudo en los créditos a través de entidades financieras
Id 233. Gestión de la Vinculación Administrativa. Seccional Pereira
ID 382:  Nivel de satisfacción en los servicios de mantenimiento prestados
Id 417. Porcentaje de docentes con Doctorado y/o Maestría Seccional Pereira (Las 4 Facultades)
ID67:  Promedio evaluación Docente de la Facultad Ciencias de la salud Exactas y naturales
ID64:  Promedio evaluación Docente de la Facultad Ciencias Económicas, administrativas y contables
ID66:  Promedio evaluación Docente de la Facultad Derecho Ciencias Políticas y sociales
ID65: Promedio evaluación Docente de la Facultad de Ingenierías
Id 441. Cumplimiento de Clases Presenciales y/o Virtuales Programadas en Pregrado Seccional Pereira (Las 4 Facultades)
Id 407. Evaluación cumplimiento actividades de los grupos de investigación de la Sede Pereira
Id 364. Evaluación del Desempeño del Estudiante de Práctica Empresarial. Seccional Pereira
Id 537. Eficiencia en la Asignación de Prácticas Empresariales. Seccional Pereira
Id 558. Porcentaje de empresas con Seguimiento (Virtual y/o Presencial) en Prácticas Empresariales. Seccional Pereira
Id 570. Programa de Educación Continua Ofertados (diplomados, foros, cursos, talleres, congresos, seminarios, simposios, conferencias, entre otros). Seccional Pereira
Id 587. Nivel de la Demanda de Centro de Conciliación. Seccional Pereira
Id 591. Nivel de Atención oportuna de PQRs realizadas al Centro de Conciliación. Seccional Pereira
Id 592. Nivel de Satisfacción con los servicios prestados por el Centro de Conciliación. Seccional Pereira
Id 593. Jornadas de Atención Integral a las Comunidades. Seccional Pereira
Anuales(26):  
Id 271. Pérdida del material bibliográfico
Id 481. Nivel de uso de recursos bibliográficos físicos (externo y sala) Seccional Pereira
Id 101. Ejecución Plan Anual de Trabajo de Bienestar Universitario Seccional Pereira
Id 102. Ejecución presupuestal de Bienestar Universitario Seccional Pereira
ID 1 Cumplimiento en el programa de Actividades
ID 8 Eficacia de las acciones correctivas implementadas
ID 3 Cumplimiento al plan de implementación del cambio
ID 4 Eficacia de las acciones de Gestión del Riesgo
ID 301 Precisión en la elaboración del Presupuesto de inversión
ID 302 Precisión en la elaboración del Presupuesto de gastos 
ID 303 Precisión en la elaboración del Presupuesto de ingresos 
Id 305.Eficacia del recaudo en los créditos directos
Id 300. Oportunidad en entrega de estados financieros Seccional Pereira
Id 234. Evaluación del desempeño (Seccional Pereira)
Id 235. Cumplimiento del Plan de Formación para Administrativos. Seccional Pereira
Id 614. Porcentaje de Ejecución del Presupuesto de Capacitación del Personal Administrativo. Seccional Pereira
Id 422. Prevalencia de la enfermedad laboral.
Id 473. Incidencia de la enfermedad laboral
ID 381 Ejecución del plan de acción
Id192. Cumplimiento del Cronograma de transferencias documentales
ID395 Programas Acreditados
ID389 Porcentaje de Programas que obtienen Registro Calificado
ID 366:  Grupos de investigación reconocidos y Escalafonados por Colciencias de la Seccional Pereira
ID 32 Movilidad docente
ID 33. Movilidad Estudiantil
Id 550. Nivel de eficiencia del Centro de Conciliación. Seccional Pereira
ID 642  Eficacia del SGC
</t>
        </r>
      </text>
    </comment>
    <comment ref="E54" authorId="1" shapeId="0">
      <text>
        <r>
          <rPr>
            <b/>
            <sz val="9"/>
            <color indexed="81"/>
            <rFont val="Tahoma"/>
            <family val="2"/>
          </rPr>
          <t>Gloria A. Sanchez M.:</t>
        </r>
        <r>
          <rPr>
            <sz val="9"/>
            <color indexed="81"/>
            <rFont val="Tahoma"/>
            <family val="2"/>
          </rPr>
          <t xml:space="preserve">
PRIMER TRIMESTRE: En la seccional Pereira de 17 solicitudes de cambio recibidas, 15 cumplieron con el tiempo establecido, equivalente al 88,24%. Las 2 que no cumplieron fue en los procesos de Docencia (1 aprobación) y Gestión de adquisiciones y suministros (1 aprobación), en el primer caso el Vo. Bo. lo debía dar el Rector seccional y en el primer trimestre hubo cambio del mismo, y el segundo proceso GA, fue por cúmulo de actividades y olvidó hacerlo, ya que desde la coordinación de calidad siempre se les refuerza tanto por correo electrónico como telefónicamente o en sitio para recordarles estos pendientes a los líderes de proceso</t>
        </r>
      </text>
    </comment>
    <comment ref="H54" authorId="1" shapeId="0">
      <text>
        <r>
          <rPr>
            <b/>
            <sz val="9"/>
            <color indexed="81"/>
            <rFont val="Tahoma"/>
            <family val="2"/>
          </rPr>
          <t>Gloria A. Sanchez M.:</t>
        </r>
        <r>
          <rPr>
            <sz val="9"/>
            <color indexed="81"/>
            <rFont val="Tahoma"/>
            <family val="2"/>
          </rPr>
          <t xml:space="preserve">
SEGUNDO TRIMESTRE: En la seccional Pereira de 41 solicitudes de cambio recibidas, 37 cumplieron con el tiempo establecido, equivalente al 90,24%. Las 4 que no cumplieron fue en los procesos de Bienestar Universitario (1 aprobación) y Gestión Financiera (3 aprobaciones), por lo cual como acción de mejora se continúa sensibilizando a través de correo electrónico y en reuniones, a los procesos para que den continuidad en el SIC dando el Vo. Bo. a los mismos, ya que para algunos titulares no es coherente dar esta aprobación sin enviar los ajustes, también algunos esperan al último día que se tiene para enviar los documentos ajustados y darles el Vo. Bo.</t>
        </r>
      </text>
    </comment>
    <comment ref="K54" authorId="1" shapeId="0">
      <text>
        <r>
          <rPr>
            <b/>
            <sz val="9"/>
            <color indexed="81"/>
            <rFont val="Tahoma"/>
            <family val="2"/>
          </rPr>
          <t>Gloria A. Sanchez M.:</t>
        </r>
        <r>
          <rPr>
            <sz val="9"/>
            <color indexed="81"/>
            <rFont val="Tahoma"/>
            <family val="2"/>
          </rPr>
          <t xml:space="preserve">
TERCER TRIMESTRE: En la seccional Pereira de 54 solicitudes de cambio recibidas, 32 cumplieron con el tiempo establecido, equivalente al 59,26%. Las 17 que no cumplieron fue en los procesos de: Docencia, Gestión financiera, Gestión de adquisiciones y suministros, Gestión de servicios generales, Proyección social, Investigación y Gestión Humana, por lo cual como acción de mejora se continúa sensibilizando a través de correo electrónico y en reuniones, a los procesos para que den continuidad en el SIC dando el Vo. Bo. a los mismos, ya que para algunos titulares no es coherente dar esta aprobación sin enviar los ajustes, también algunos esperan al último día que se tiene para enviar los documentos ajustados y darles el Vo. Bo.</t>
        </r>
      </text>
    </comment>
    <comment ref="N54" authorId="1" shapeId="0">
      <text>
        <r>
          <rPr>
            <b/>
            <sz val="9"/>
            <color indexed="81"/>
            <rFont val="Tahoma"/>
            <family val="2"/>
          </rPr>
          <t>Gloria A. Sanchez M.:</t>
        </r>
        <r>
          <rPr>
            <sz val="9"/>
            <color indexed="81"/>
            <rFont val="Tahoma"/>
            <family val="2"/>
          </rPr>
          <t xml:space="preserve">
CUARTO TRIMESTRE: No se cumplió la meta estándar nacional del 100%, en la seccional se obtuvo un resultado del 81,82%. De 22 solicitudes de cambio, 4 no cumplieron con el tiempo establecido en el acuerdo de servicio, documentos correspondientes al proceso de Gestión Humana:
1. Instructivo De Inducción
2. Acta De Entrega Información Manejada Por El Cargo
3. Procedimiento De Gestión Del Talento Humano
4. Formato De Inducción Y Reinducción Puesto De Trabajo</t>
        </r>
      </text>
    </comment>
    <comment ref="D56" authorId="0" shapeId="0">
      <text>
        <r>
          <rPr>
            <b/>
            <sz val="9"/>
            <color indexed="81"/>
            <rFont val="Tahoma"/>
            <family val="2"/>
          </rPr>
          <t>Gloria Amparo Sanchez:</t>
        </r>
        <r>
          <rPr>
            <sz val="9"/>
            <color indexed="81"/>
            <rFont val="Tahoma"/>
            <family val="2"/>
          </rPr>
          <t xml:space="preserve">
Cumplir con el tiempo establecido en el acuerdo de servicio para los días promedio para el trámite de cuentas por pagar.</t>
        </r>
      </text>
    </comment>
    <comment ref="E56" authorId="1" shapeId="0">
      <text>
        <r>
          <rPr>
            <b/>
            <sz val="9"/>
            <color indexed="81"/>
            <rFont val="Tahoma"/>
            <family val="2"/>
          </rPr>
          <t>Gloria A. Sanchez M.:</t>
        </r>
        <r>
          <rPr>
            <sz val="9"/>
            <color indexed="81"/>
            <rFont val="Tahoma"/>
            <family val="2"/>
          </rPr>
          <t xml:space="preserve">
Se cumple la meta del indicador, de un total de 74 documentos equivalente y o facturas recibidas en el mes, el 100% se radicaron dentro de los primeros 5 días establecidos en el acuerdo de servicio.</t>
        </r>
      </text>
    </comment>
    <comment ref="F56" authorId="1" shapeId="0">
      <text>
        <r>
          <rPr>
            <b/>
            <sz val="9"/>
            <color indexed="81"/>
            <rFont val="Tahoma"/>
            <family val="2"/>
          </rPr>
          <t>Gloria A. Sanchez M.:</t>
        </r>
        <r>
          <rPr>
            <sz val="9"/>
            <color indexed="81"/>
            <rFont val="Tahoma"/>
            <family val="2"/>
          </rPr>
          <t xml:space="preserve">
Se cumple la meta del indicador, de un total de 211 documentos equivalente y o facturas recibidas en el mes, el 100% se radicaron dentro de los primeros 5 días establecidos en el acuerdo de servicio.</t>
        </r>
      </text>
    </comment>
    <comment ref="G56" authorId="1" shapeId="0">
      <text>
        <r>
          <rPr>
            <b/>
            <sz val="9"/>
            <color indexed="81"/>
            <rFont val="Tahoma"/>
            <family val="2"/>
          </rPr>
          <t>Gloria A. Sanchez M.:</t>
        </r>
        <r>
          <rPr>
            <sz val="9"/>
            <color indexed="81"/>
            <rFont val="Tahoma"/>
            <family val="2"/>
          </rPr>
          <t xml:space="preserve">
Se cumple la meta del indicador, de un total de 222 documentos equivalente y o facturas recibidas en el mes, el 100% se radicaron dentro de los primeros 5 días establecidos en el acuerdo de servicio.</t>
        </r>
      </text>
    </comment>
    <comment ref="H56" authorId="1" shapeId="0">
      <text>
        <r>
          <rPr>
            <b/>
            <sz val="9"/>
            <color indexed="81"/>
            <rFont val="Tahoma"/>
            <family val="2"/>
          </rPr>
          <t>Gloria A. Sanchez M.:</t>
        </r>
        <r>
          <rPr>
            <sz val="9"/>
            <color indexed="81"/>
            <rFont val="Tahoma"/>
            <family val="2"/>
          </rPr>
          <t xml:space="preserve">
Se cumple la meta del indicador, de un total de 204 documentos equivalente y o facturas recibidas en el mes, el 100% se radicaron dentro de los primeros 5 días establecidos en el acuerdo de servicio.</t>
        </r>
      </text>
    </comment>
    <comment ref="I56" authorId="1" shapeId="0">
      <text>
        <r>
          <rPr>
            <b/>
            <sz val="9"/>
            <color indexed="81"/>
            <rFont val="Tahoma"/>
            <family val="2"/>
          </rPr>
          <t>Gloria A. Sanchez M.:</t>
        </r>
        <r>
          <rPr>
            <sz val="9"/>
            <color indexed="81"/>
            <rFont val="Tahoma"/>
            <family val="2"/>
          </rPr>
          <t xml:space="preserve">
Se cumple la meta del indicador, de un total de 325 documentos equivalente y o facturas recibidas en el mes, el 100% se radicaron dentro de los primeros 5 días establecidos en el acuerdo de servicio.</t>
        </r>
      </text>
    </comment>
    <comment ref="J56" authorId="1" shapeId="0">
      <text>
        <r>
          <rPr>
            <b/>
            <sz val="9"/>
            <color indexed="81"/>
            <rFont val="Tahoma"/>
            <family val="2"/>
          </rPr>
          <t>Gloria A. Sanchez M.:</t>
        </r>
        <r>
          <rPr>
            <sz val="9"/>
            <color indexed="81"/>
            <rFont val="Tahoma"/>
            <family val="2"/>
          </rPr>
          <t xml:space="preserve">
Se cumple la meta del indicador, de un total de 309 documentos equivalente y o facturas recibidas en el mes, el 100% se radicaron dentro de los primeros 5 días establecidos en el acuerdo de servicio.</t>
        </r>
      </text>
    </comment>
    <comment ref="K56" authorId="1" shapeId="0">
      <text>
        <r>
          <rPr>
            <b/>
            <sz val="9"/>
            <color indexed="81"/>
            <rFont val="Tahoma"/>
            <family val="2"/>
          </rPr>
          <t>Gloria A. Sanchez M.:</t>
        </r>
        <r>
          <rPr>
            <sz val="9"/>
            <color indexed="81"/>
            <rFont val="Tahoma"/>
            <family val="2"/>
          </rPr>
          <t xml:space="preserve">
Se cumple la meta del indicador, de un total de 248 documentos equivalente y o facturas recibidas en el mes, el 100% se radicaron dentro de los primeros 5 días establecidos en el acuerdo de servicio.</t>
        </r>
      </text>
    </comment>
    <comment ref="L56" authorId="1" shapeId="0">
      <text>
        <r>
          <rPr>
            <b/>
            <sz val="9"/>
            <color indexed="81"/>
            <rFont val="Tahoma"/>
            <family val="2"/>
          </rPr>
          <t>Gloria A. Sanchez M.:</t>
        </r>
        <r>
          <rPr>
            <sz val="9"/>
            <color indexed="81"/>
            <rFont val="Tahoma"/>
            <family val="2"/>
          </rPr>
          <t xml:space="preserve">
Se cumple la meta del indicador, de un total de 301 documentos soportes y o facturas electrónicas recibidas en el mes, el 100% se radicaron dentro de los primeros 5 días establecidos en el acuerdo de servicio.
</t>
        </r>
      </text>
    </comment>
    <comment ref="M56" authorId="1" shapeId="0">
      <text>
        <r>
          <rPr>
            <b/>
            <sz val="9"/>
            <color indexed="81"/>
            <rFont val="Tahoma"/>
            <family val="2"/>
          </rPr>
          <t>Gloria A. Sanchez M.:</t>
        </r>
        <r>
          <rPr>
            <sz val="9"/>
            <color indexed="81"/>
            <rFont val="Tahoma"/>
            <family val="2"/>
          </rPr>
          <t xml:space="preserve">
Se cumple la meta del indicador, de un total de 322 documentos soportes y o facturas electrónicas recibidas en el mes, el 100% se radicaron dentro de los primeros 5 días establecidos en el acuerdo de servicio.</t>
        </r>
      </text>
    </comment>
    <comment ref="N56" authorId="1" shapeId="0">
      <text>
        <r>
          <rPr>
            <b/>
            <sz val="9"/>
            <color indexed="81"/>
            <rFont val="Tahoma"/>
            <family val="2"/>
          </rPr>
          <t>Gloria A. Sanchez M.:</t>
        </r>
        <r>
          <rPr>
            <sz val="9"/>
            <color indexed="81"/>
            <rFont val="Tahoma"/>
            <family val="2"/>
          </rPr>
          <t xml:space="preserve">
Se cumple la meta del indicador, de un total de 317 documentos soportes y o facturas electrónicas
recibidas en el mes, el 100% se radicaron dentro de los primeros 5 días establecidos en el acuerdo de servicio.
</t>
        </r>
      </text>
    </comment>
    <comment ref="O56" authorId="1" shapeId="0">
      <text>
        <r>
          <rPr>
            <b/>
            <sz val="9"/>
            <color indexed="81"/>
            <rFont val="Tahoma"/>
            <family val="2"/>
          </rPr>
          <t>Gloria A. Sanchez M.:</t>
        </r>
        <r>
          <rPr>
            <sz val="9"/>
            <color indexed="81"/>
            <rFont val="Tahoma"/>
            <family val="2"/>
          </rPr>
          <t xml:space="preserve">
Se cumple la meta del indicador, de un total de 362 documentos soportes y o facturas electrónicas recibidas en el mes, el 100% se radicaron dentro de los primeros 5 días establecidos en el acuerdo de servicio.</t>
        </r>
      </text>
    </comment>
    <comment ref="P56" authorId="1" shapeId="0">
      <text>
        <r>
          <rPr>
            <b/>
            <sz val="9"/>
            <color indexed="81"/>
            <rFont val="Tahoma"/>
            <family val="2"/>
          </rPr>
          <t>Gloria A. Sanchez M.:</t>
        </r>
        <r>
          <rPr>
            <sz val="9"/>
            <color indexed="81"/>
            <rFont val="Tahoma"/>
            <family val="2"/>
          </rPr>
          <t xml:space="preserve">
Se cumple la meta del indicador, de un total de 293 documentos soportes y o facturas electrónicas recibidas en el mes, el 100% se radicaron dentro de los primeros 5 días establecidos en el acuerdo de servicio.
</t>
        </r>
      </text>
    </comment>
    <comment ref="D58" authorId="0" shapeId="0">
      <text>
        <r>
          <rPr>
            <b/>
            <sz val="9"/>
            <color indexed="81"/>
            <rFont val="Tahoma"/>
            <family val="2"/>
          </rPr>
          <t>Gloria Amparo Sanchez:</t>
        </r>
        <r>
          <rPr>
            <sz val="9"/>
            <color indexed="81"/>
            <rFont val="Tahoma"/>
            <family val="2"/>
          </rPr>
          <t xml:space="preserve">
Rango bueno:  99% - 90%</t>
        </r>
      </text>
    </comment>
    <comment ref="E58" authorId="1" shapeId="0">
      <text>
        <r>
          <rPr>
            <b/>
            <sz val="9"/>
            <color indexed="81"/>
            <rFont val="Tahoma"/>
            <family val="2"/>
          </rPr>
          <t>Gloria A. Sanchez M.:</t>
        </r>
        <r>
          <rPr>
            <sz val="9"/>
            <color indexed="81"/>
            <rFont val="Tahoma"/>
            <family val="2"/>
          </rPr>
          <t xml:space="preserve">
No se cumplió la meta estándar del indicador del 100%, de un total de 69 documentos equivalentes y /o Facturas para causación en el mes, 58 se causaron dentro de los plazos establecidos en el acuerdo de servicios (3 días) con un 84,06%. como acciones de mejora para alcanzar la meta, se hace seguimiento a los documentos equivalentes y/ o facturas, deben contar con orden virtual, orden de compra, servicio o contrato aplicado en el sistema. Por inicio de año la aplicación de ordenes por parte de las áreas es un poco mas lenta.
</t>
        </r>
      </text>
    </comment>
    <comment ref="F58"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95,98%, de un total de 199 cuentas recibidas para causación en el mes, 191 cuentas se causaron dentro de los plazos establecidos en el acuerdo de servicios (3 días) equivalente al 95,98%. Como acciones de mejora para alcanzar la meta, se hace seguimiento a los documentos soportes y/ o facturas, deben contar con orden virtual, orden de compra, servicio o contrato aplicado en el sistema.</t>
        </r>
      </text>
    </comment>
    <comment ref="G58" authorId="1" shapeId="0">
      <text>
        <r>
          <rPr>
            <b/>
            <sz val="9"/>
            <color indexed="81"/>
            <rFont val="Tahoma"/>
            <family val="2"/>
          </rPr>
          <t>Gloria A. Sanchez M.:</t>
        </r>
        <r>
          <rPr>
            <sz val="9"/>
            <color indexed="81"/>
            <rFont val="Tahoma"/>
            <family val="2"/>
          </rPr>
          <t xml:space="preserve">
No se cumplió la meta estándar del indicador del 90%, se cumplió con el rango bueno,  de un total de 220 documentos equivalentes y /o Facturas para causación en el mes, 196 se causaron dentro de los plazos establecidos en el acuerdo de servicios (3 días) con un 89,09%. como acciones de mejora para alcanzar la meta, se hace seguimiento a los documentos equivalentes y/ o facturas, deben contar con orden virtual, orden de compra, servicio o contrato aplicado en el sistema.</t>
        </r>
      </text>
    </comment>
    <comment ref="H58" authorId="1" shapeId="0">
      <text>
        <r>
          <rPr>
            <b/>
            <sz val="9"/>
            <color indexed="81"/>
            <rFont val="Tahoma"/>
            <family val="2"/>
          </rPr>
          <t>Gloria A. Sanchez M.:</t>
        </r>
        <r>
          <rPr>
            <sz val="9"/>
            <color indexed="81"/>
            <rFont val="Tahoma"/>
            <family val="2"/>
          </rPr>
          <t xml:space="preserve">
No se cumplió la meta estándar del indicador del 90%, se obtuvo un resultado de 85,22%,  de un total de 203 documentos equivalentes y /o Facturas para causación en el mes, 173 se causaron dentro de los plazos establecidos en el acuerdo de servicios (3 días) con un 85,22%. como acciones de mejora para alcanzar la meta, se hace seguimiento a los documentos equivalentes y/ o facturas, deben contar con orden virtual, orden de compra, servicio o contrato aplicado en el sistema, por descanso de semana santa el indicador se ve afectado.</t>
        </r>
      </text>
    </comment>
    <comment ref="I58" authorId="1" shapeId="0">
      <text>
        <r>
          <rPr>
            <b/>
            <sz val="9"/>
            <color indexed="81"/>
            <rFont val="Tahoma"/>
            <family val="2"/>
          </rPr>
          <t>Gloria A. Sanchez M.:</t>
        </r>
        <r>
          <rPr>
            <sz val="9"/>
            <color indexed="81"/>
            <rFont val="Tahoma"/>
            <family val="2"/>
          </rPr>
          <t xml:space="preserve">
Se  cumplió la meta estándar del indicador del 100%,obteniéndose un resultado seccional del 97,40%, de un total de 308 cuentas recibidas para causación en el mes, 300 cuentas se causaron dentro de los plazos establecidos en el acuerdo de servicios (3 días) equivalente al 97,40%. Como acciones de mejora para incrementar el resultado del indicador, se hace seguimiento a los documentos soportes y/ o facturas, deben contar con orden virtual, orden de compra, servicio o contrato aplicado en el sistema.
</t>
        </r>
      </text>
    </comment>
    <comment ref="J58" authorId="1" shapeId="0">
      <text>
        <r>
          <rPr>
            <b/>
            <sz val="9"/>
            <color indexed="81"/>
            <rFont val="Tahoma"/>
            <family val="2"/>
          </rPr>
          <t>Gloria A. Sanchez M.:</t>
        </r>
        <r>
          <rPr>
            <sz val="9"/>
            <color indexed="81"/>
            <rFont val="Tahoma"/>
            <family val="2"/>
          </rPr>
          <t xml:space="preserve">
No se cumplió la meta estándar del indicador del 100%, pero se cumplió con el rango bueno, obteniéndose un resultado seccional del 97,99%, de un total de 298 cuentas recibidas para causación en el mes, 292 cuentas se causaron dentro de los plazos establecidos en el acuerdo de servicios (3 días) equivalente al 97,99%. Como acciones de mejora para alcanzar la meta, se hace seguimiento a los documentos soportes y/ o facturas, deben contar con orden virtual, orden de compra, servicio o contrato aplicado en el sistema.</t>
        </r>
      </text>
    </comment>
    <comment ref="K58" authorId="1" shapeId="0">
      <text>
        <r>
          <rPr>
            <sz val="9"/>
            <color indexed="81"/>
            <rFont val="Tahoma"/>
            <family val="2"/>
          </rPr>
          <t>Se cumplió la meta estándar del indicador del 100%, obteniéndose un resultado seccional del 96,05%, de un total de 253 cuentas recibidas para causación en el mes, 243 cuentas se causaron dentro de los plazos establecidos en el acuerdo de servicios (3 días) equivalente al 96,05%. Como acciones de mejora para alcanzar un mejor resultado del indicador, se hace seguimiento a los documentos soportes y/ o facturas, deben contar con orden virtual, orden de compra, servicio o contrato aplicado en el sistema.</t>
        </r>
      </text>
    </comment>
    <comment ref="L58" authorId="1" shapeId="0">
      <text>
        <r>
          <rPr>
            <b/>
            <sz val="9"/>
            <color indexed="81"/>
            <rFont val="Tahoma"/>
            <family val="2"/>
          </rPr>
          <t>Gloria A. Sanchez M.:</t>
        </r>
        <r>
          <rPr>
            <sz val="9"/>
            <color indexed="81"/>
            <rFont val="Tahoma"/>
            <family val="2"/>
          </rPr>
          <t xml:space="preserve">
Se cumplió la meta estándar del indicador del 90%, pero se cumplió con el rango bueno, obteniéndose un resultado seccional del 98,69%, de un total de 305 cuentas recibidas para causación en el mes, 301 cuentas se causaron dentro de los plazos establecidos en el acuerdo de servicios (3 días) equivalente al 98,69%. Como acciones de mejora para incrementar el resultado, se hace seguimiento a los documentos soportes y/ o facturas electrónica, deben contar con orden virtual, orden de compra y/o servicio, contrato aplicado en el sistema. Las que no cumplieron se causaron a fin de mes.</t>
        </r>
      </text>
    </comment>
    <comment ref="M58"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97,79%, de un total de 317 facturas electrónicas y o documentos soportes recibidas para causación en el mes, 310 cuentas se causaron dentro de los plazos establecidos en el acuerdo de servicios (3 días) equivalente al 97,79%. Como acciones de mejora para incrementar el resultado, se hace seguimiento a los documentos soportes y/ o facturas electrónica, deben contar con orden virtual, orden de compra y/o servicio, contrato aplicado en el sistema.</t>
        </r>
      </text>
    </comment>
    <comment ref="N58"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96,93%, de un total de 326 facturas electrónicas y o documentos soportes recibidas para causación en el mes, 316 cuentas se causaron dentro de los plazos establecidos en el acuerdo de servicios (3 días) equivalente al 96,93%. Como acciones de mejora para incrementar el resultado, se hace seguimiento a los documentos soportes y/ o facturas electrónica, deben contar con orden virtual, orden de compra y/o servicio, contrato aplicado en el sistema.</t>
        </r>
      </text>
    </comment>
    <comment ref="O58"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90,66%, de un total de 439 facturas electrónicas y o documentos soportes recibidas para causación en el mes,398 cuentas se causaron dentro de los plazos establecidos en el acuerdo de servicios (3 días) equivalente al 90,66%. Este mes se recibió facturas y o documentos soporte de forma anticipada para el cierre de año 2022. Como acciones de mejora para incrementar el resultado, se hace seguimiento a los documentos soportes y/ o facturas electrónica, deben contar con orden virtual, orden de compra y/o servicio, contrato aplicado en el sistema.</t>
        </r>
      </text>
    </comment>
    <comment ref="P58"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91,30%, de un total de 322 facturas electrónicas y o documentos soportes recibidas para causación en el mes,294 cuentas se causaron dentro de los plazos establecidos en el acuerdo de servicios (3 días) equivalente al 91,30%. Este mes se recibió facturas y o documentos soporte de forma anticipada para el cierre de año 2022. Como acciones de mejora para incrementar el resultado, se hace seguimiento a los documentos soportes y/ o facturas electrónica, deben contar con orden virtual, orden de compra y/o servicio, contrato aplicado en el sistema.</t>
        </r>
      </text>
    </comment>
    <comment ref="D60" authorId="0" shapeId="0">
      <text>
        <r>
          <rPr>
            <b/>
            <sz val="9"/>
            <color indexed="81"/>
            <rFont val="Tahoma"/>
            <family val="2"/>
          </rPr>
          <t>Gloria Amparo Sanchez:</t>
        </r>
        <r>
          <rPr>
            <sz val="9"/>
            <color indexed="81"/>
            <rFont val="Tahoma"/>
            <family val="2"/>
          </rPr>
          <t xml:space="preserve">
Indicador: de Gestión Financiera: “DÍAS PROMEDIO PARA EL TRÁMITE DE CUENTAS GIRADAS Y/O PAGADAS (ACUERDO)”, para tener mayor claridad al momento de ingresar la información para este indicador se debe tener en cuenta que se deben contar 17 días hábiles contados a partir del último día del mes a reportar (se incluye texto explicativo en la descripción del mismo). </t>
        </r>
      </text>
    </comment>
    <comment ref="E60" authorId="1" shapeId="0">
      <text>
        <r>
          <rPr>
            <b/>
            <sz val="9"/>
            <color indexed="81"/>
            <rFont val="Tahoma"/>
            <family val="2"/>
          </rPr>
          <t>Gloria A. Sanchez M.:</t>
        </r>
        <r>
          <rPr>
            <sz val="9"/>
            <color indexed="81"/>
            <rFont val="Tahoma"/>
            <family val="2"/>
          </rPr>
          <t xml:space="preserve">
No se cumplió la meta estándar del indicador del 100%, se observa que este indicador no tiene meta definida, se cuenta con un rango bueno del 18,03%, de un total de 122 cuentas giradas dentro de los plazos establecidos 18 días y 30 para devolución de estudiantes, 22 pagos cumplieron, los otros 100 pagos no, por razones como: Periodo de vacaciones colectivas, se causaron en diciembre 2021 y se pagaron a finales de enero de 2022, afectando el indicador.</t>
        </r>
      </text>
    </comment>
    <comment ref="F60" authorId="1" shapeId="0">
      <text>
        <r>
          <rPr>
            <b/>
            <sz val="9"/>
            <color indexed="81"/>
            <rFont val="Tahoma"/>
            <family val="2"/>
          </rPr>
          <t>Gloria A. Sanchez M.:</t>
        </r>
        <r>
          <rPr>
            <sz val="9"/>
            <color indexed="81"/>
            <rFont val="Tahoma"/>
            <family val="2"/>
          </rPr>
          <t xml:space="preserve">
No se cumplió la meta estándar del indicador del 90%, se cuenta con un rango bueno del 75,29%, de un total de 263 cuentas giradas dentro de los plazos establecidos 17 días y 30 para devolución de estudiantes, 198 pagos cumplieron, los otros 65 pagos no, por razones como: Facturas causadas en diciembre 2021 y pendientes de acta de recibido a satisfacción, con cartas de compromiso,afectando el indicador.</t>
        </r>
      </text>
    </comment>
    <comment ref="G60" authorId="1" shapeId="0">
      <text>
        <r>
          <rPr>
            <b/>
            <sz val="9"/>
            <color indexed="81"/>
            <rFont val="Tahoma"/>
            <family val="2"/>
          </rPr>
          <t>Gloria A. Sanchez M.:</t>
        </r>
        <r>
          <rPr>
            <sz val="9"/>
            <color indexed="81"/>
            <rFont val="Tahoma"/>
            <family val="2"/>
          </rPr>
          <t xml:space="preserve">
No se cumplió la meta estándar del indicador del 90%, se cuenta con un rango bueno del 87,73%, de un total de 220 cuentas giradas dentro de los plazos establecidos 17 días y 30 para devolución a estudiantes, 193 pagos cumplieron, los otros 27 pagos no, por razones como: Acta pendientes de recibido, el indicador se afecta con las facturas electrónicas radicadas al inicio del mes y sólo se pueden pagar cuando se ha recibido a fin de mes el servicio, como: Servicio vigilancia, Aseo, servicios mantenimiento.</t>
        </r>
      </text>
    </comment>
    <comment ref="H60" authorId="1" shapeId="0">
      <text>
        <r>
          <rPr>
            <b/>
            <sz val="9"/>
            <color indexed="81"/>
            <rFont val="Tahoma"/>
            <family val="2"/>
          </rPr>
          <t>Gloria A. Sanchez M.:</t>
        </r>
        <r>
          <rPr>
            <sz val="9"/>
            <color indexed="81"/>
            <rFont val="Tahoma"/>
            <family val="2"/>
          </rPr>
          <t xml:space="preserve">
No se cumplió la meta estándar del indicador del 90%, se cuenta con un rango bueno del 87,12%, de un total de 233 cuentas giradas dentro de los plazos establecidos 17 días y 30 para devolución a estudiantes, 203 pagos cumplieron, los otros 30 pagos no, por razones como: Acta pendientes de recibido, el indicador se afecta con las facturas electrónicas radicadas al inicio del mes y sólo se pueden pagar cuando se ha recibido a fin de mes el servicio, como: Vigilancia, Aseo, servicios mantenimiento.</t>
        </r>
      </text>
    </comment>
    <comment ref="I60"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90,59%, de un total de 170 cuentas giradas dentro de los plazos establecidos (18 días y 30 para devolución de estudiantes), 154 pagos cumplieron, los otros 16 pagos no, por razones como: Acta pendientes de recibido, el indicador se afecta con las facturas electrónicas radicadas al inicio del mes y sólo se pueden pagar cuando se ha recibido a satisfacción el servicio al final de mes. ejemplo: Mantenimiento Ascensores, vigilancia privada, servicio de Aseo.</t>
        </r>
      </text>
    </comment>
    <comment ref="J60" authorId="1" shapeId="0">
      <text>
        <r>
          <rPr>
            <sz val="9"/>
            <color indexed="81"/>
            <rFont val="Tahoma"/>
            <family val="2"/>
          </rPr>
          <t>Se  cumplió la meta estándar del indicador del 100%, obteniéndose un resultado seccional del 97,99%, de un total de 298 cuentas recibidas para causación en el mes, 292 cuentas se causaron dentro de los plazos establecidos en el acuerdo de servicios (3 días) equivalente al 97,99%. Como acciones de mejora para mejorar el resultado del indicador, se hace seguimiento a los documentos soportes y/ o facturas, deben contar con orden virtual, orden de compra, servicio o contrato aplicado en el sistema.</t>
        </r>
      </text>
    </comment>
    <comment ref="K60"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90,91%, de un total de 264 cuentas giradas dentro de los plazos establecidos (18 días y 30 para devolución de estudiantes), 240 pagos cumplieron, los otros 24 pagos no, por razones como: Acta pendientes de recibido por partes de las diferentes áreas, el indicador se afecta con las facturas electrónicas radicadas al inicio del mes y sólo se pueden pagar cuando se ha recibido a satisfacción el servicio al final de mes. ejemplo: Mantenimiento Ascensores, vigilancia privada, servicio de Aseo, pagos terceros de nómina.</t>
        </r>
      </text>
    </comment>
    <comment ref="L60" authorId="1" shapeId="0">
      <text>
        <r>
          <rPr>
            <b/>
            <sz val="9"/>
            <color indexed="81"/>
            <rFont val="Tahoma"/>
            <family val="2"/>
          </rPr>
          <t>Gloria A. Sanchez M.:</t>
        </r>
        <r>
          <rPr>
            <sz val="9"/>
            <color indexed="81"/>
            <rFont val="Tahoma"/>
            <family val="2"/>
          </rPr>
          <t xml:space="preserve">
No se cumplió la meta estándar del indicador del 90%, pero se cumplió con el rango bueno, obteniéndose un resultado seccional del 86,67%, de un total de 240 cuentas giradas dentro de los plazos establecidos (18 días y 30 para devolución de estudiantes), 208 pagos cumplieron, los otros 32 pagos no, por razones como: Acta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ejemplo: Mantenimiento Ascensores, plantas, purificadores, servicio de vigilancia privada, servicio de Aseo, como acción de mejora se envió propuesta de ajuste a la sede principal de los indicadores del proceso.</t>
        </r>
      </text>
    </comment>
    <comment ref="M60" authorId="1" shapeId="0">
      <text>
        <r>
          <rPr>
            <b/>
            <sz val="9"/>
            <color indexed="81"/>
            <rFont val="Tahoma"/>
            <family val="2"/>
          </rPr>
          <t>Gloria A. Sanchez M.:</t>
        </r>
        <r>
          <rPr>
            <sz val="9"/>
            <color indexed="81"/>
            <rFont val="Tahoma"/>
            <family val="2"/>
          </rPr>
          <t xml:space="preserve">
No se cumplió la meta estándar del indicador del 100%, obteniéndose un resultado seccional del 84,28%, de un total de 388 cuentas giradas dentro de los plazos establecidos (18 días y 30 para devolución de estudiantes y proveedores que dan crédito a 30 días), 327 pagos cumplieron, los otros 61 pagos no, por razones como: Acta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ejemplo: Mantenimiento Ascensores, plantas, purificadores, servicio de vigilancia privada, servicio de Aseo.
</t>
        </r>
      </text>
    </comment>
    <comment ref="N60" authorId="1" shapeId="0">
      <text>
        <r>
          <rPr>
            <b/>
            <sz val="9"/>
            <color indexed="81"/>
            <rFont val="Tahoma"/>
            <family val="2"/>
          </rPr>
          <t>Gloria A. Sanchez M.:</t>
        </r>
        <r>
          <rPr>
            <sz val="9"/>
            <color indexed="81"/>
            <rFont val="Tahoma"/>
            <family val="2"/>
          </rPr>
          <t xml:space="preserve">
No se cumplió la meta estándar del indicador del 100%, obteniéndose un resultado seccional del 69,64%, de un total de 280 cuentas giradas dentro de los plazos establecidos (18 días y 30 para devolución de estudiantes y proveedores que dan crédito a 30 días), 195 pagos cumplieron, los otros 85 pagos no, por razones como: Acta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ejemplo: Mantenimiento Ascensores, plantas, purificadores, servicio de vigilancia privada, servicio de Aseo.</t>
        </r>
      </text>
    </comment>
    <comment ref="O60" authorId="1" shapeId="0">
      <text>
        <r>
          <rPr>
            <b/>
            <sz val="9"/>
            <color indexed="81"/>
            <rFont val="Tahoma"/>
            <family val="2"/>
          </rPr>
          <t>Gloria A. Sanchez M.:</t>
        </r>
        <r>
          <rPr>
            <sz val="9"/>
            <color indexed="81"/>
            <rFont val="Tahoma"/>
            <family val="2"/>
          </rPr>
          <t xml:space="preserve">
No se cumplió la meta estándar del indicador del 90%, obteniéndose un resultado seccional del 85,50%, de un total de 338 cuentas giradas dentro de los plazos establecidos (18 días y 30 para devolución de estudiantes y proveedores que dan crédito a 30 días),289 pagos cumplieron, los otros 49 pagos no, por razones como: Acta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a 30 días. ejemplo: Mantenimiento Ascensores, plantas, purificadores, servicio de vigilancia privada, servicio de Aseo. Las devoluciones de saldo a favor cuentan con un tiempo de 30 días para realizarlas.</t>
        </r>
      </text>
    </comment>
    <comment ref="P60" authorId="1" shapeId="0">
      <text>
        <r>
          <rPr>
            <b/>
            <sz val="9"/>
            <color indexed="81"/>
            <rFont val="Tahoma"/>
            <family val="2"/>
          </rPr>
          <t>Gloria A. Sanchez M.:</t>
        </r>
        <r>
          <rPr>
            <sz val="9"/>
            <color indexed="81"/>
            <rFont val="Tahoma"/>
            <family val="2"/>
          </rPr>
          <t xml:space="preserve">
No se cumplió la meta estándar del indicador del 90%, obteniéndose un resultado seccional del 64,31%, de un total de 255 cuentas giradas dentro de los plazos establecidos (18 días y 30 para devolución de estudiantes y proveedores que dan crédito a 30 días),164 pagos cumplieron, los otros 91 pagos no, por razones como: Por cierre de año se recibieron facturas y documentos soportes desde el mes de noviembre y el pago se realizo en diciembre cuando cumplieron el periodo contractual, también por actas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a 30 días. ejemplo: Mantenimiento Ascensores, plantas, purificadores, servicio de vigilancia privada, servicio de Aseo. Las devoluciones de saldo a favor cuentan con un tiempo de 30 días para realizarlas.</t>
        </r>
      </text>
    </comment>
    <comment ref="D62" authorId="0" shapeId="0">
      <text>
        <r>
          <rPr>
            <b/>
            <sz val="9"/>
            <color indexed="81"/>
            <rFont val="Tahoma"/>
            <family val="2"/>
          </rPr>
          <t>Gloria Amparo Sanchez:</t>
        </r>
        <r>
          <rPr>
            <sz val="9"/>
            <color indexed="81"/>
            <rFont val="Tahoma"/>
            <family val="2"/>
          </rPr>
          <t xml:space="preserve">
Rango bueno: 11% - 14%</t>
        </r>
      </text>
    </comment>
    <comment ref="E62" authorId="1" shapeId="0">
      <text>
        <r>
          <rPr>
            <b/>
            <sz val="9"/>
            <color indexed="81"/>
            <rFont val="Tahoma"/>
            <family val="2"/>
          </rPr>
          <t>Gloria A. Sanchez M.:</t>
        </r>
        <r>
          <rPr>
            <sz val="9"/>
            <color indexed="81"/>
            <rFont val="Tahoma"/>
            <family val="2"/>
          </rPr>
          <t xml:space="preserve">
Para el año 2022 este indicador no se cumplió, por la variación del precio del dolar se incremento la inversión. El valor del presupuesto total de inversión aprobado fue de 1.830 millones, el valor del total del presupuesto de inversión modificado fue de 2.490 y la adición de recursos de capital fue de 0</t>
        </r>
      </text>
    </comment>
    <comment ref="D63" authorId="0" shapeId="0">
      <text>
        <r>
          <rPr>
            <b/>
            <sz val="9"/>
            <color indexed="81"/>
            <rFont val="Tahoma"/>
            <family val="2"/>
          </rPr>
          <t>Gloria Amparo Sanchez:</t>
        </r>
        <r>
          <rPr>
            <sz val="9"/>
            <color indexed="81"/>
            <rFont val="Tahoma"/>
            <family val="2"/>
          </rPr>
          <t xml:space="preserve">
RANGO BUENO: 11% - 14%</t>
        </r>
      </text>
    </comment>
    <comment ref="E63" authorId="1" shapeId="0">
      <text>
        <r>
          <rPr>
            <b/>
            <sz val="9"/>
            <color indexed="81"/>
            <rFont val="Tahoma"/>
            <family val="2"/>
          </rPr>
          <t>Gloria A. Sanchez M.:</t>
        </r>
        <r>
          <rPr>
            <sz val="9"/>
            <color indexed="81"/>
            <rFont val="Tahoma"/>
            <family val="2"/>
          </rPr>
          <t xml:space="preserve">
2022: Se cumple el indicador de precisión del presupuesto del gasto al estar por debajo del 10%. El valor del presupuesto total de gastos aprobado fue de 39.769 millones, el valor del total del presupuesto de gastos modificado fue de 39.728 millones, no hubo adiciones de recursos de capital</t>
        </r>
      </text>
    </comment>
    <comment ref="D64" authorId="0" shapeId="0">
      <text>
        <r>
          <rPr>
            <b/>
            <sz val="9"/>
            <color indexed="81"/>
            <rFont val="Tahoma"/>
            <family val="2"/>
          </rPr>
          <t>Gloria Amparo Sanchez:</t>
        </r>
        <r>
          <rPr>
            <sz val="9"/>
            <color indexed="81"/>
            <rFont val="Tahoma"/>
            <family val="2"/>
          </rPr>
          <t xml:space="preserve">
rango bueno:  4% - 5%</t>
        </r>
      </text>
    </comment>
    <comment ref="E64" authorId="1" shapeId="0">
      <text>
        <r>
          <rPr>
            <b/>
            <sz val="9"/>
            <color indexed="81"/>
            <rFont val="Tahoma"/>
            <family val="2"/>
          </rPr>
          <t>Gloria A. Sanchez M.:</t>
        </r>
        <r>
          <rPr>
            <sz val="9"/>
            <color indexed="81"/>
            <rFont val="Tahoma"/>
            <family val="2"/>
          </rPr>
          <t xml:space="preserve">
Año 2022: Se cumplió la meta nacional " no superar el 3% de variación entre el presupuesto aprobado y el aprobado", se presento una variación del 1.2%.</t>
        </r>
      </text>
    </comment>
    <comment ref="D65" authorId="0" shapeId="0">
      <text>
        <r>
          <rPr>
            <b/>
            <sz val="9"/>
            <color indexed="81"/>
            <rFont val="Tahoma"/>
            <family val="2"/>
          </rPr>
          <t>Gloria Amparo Sanchez:</t>
        </r>
        <r>
          <rPr>
            <sz val="9"/>
            <color indexed="81"/>
            <rFont val="Tahoma"/>
            <family val="2"/>
          </rPr>
          <t xml:space="preserve">
Controlar el comportamiento de la recuperación de cartera de lo que la Universidad Libre financia directamente, con el fin de analizar y mejorar la gestión de cobros y evitar saldos antiguos</t>
        </r>
      </text>
    </comment>
    <comment ref="E65" authorId="1" shapeId="0">
      <text>
        <r>
          <rPr>
            <b/>
            <sz val="9"/>
            <color indexed="81"/>
            <rFont val="Tahoma"/>
            <family val="2"/>
          </rPr>
          <t>Gloria A. Sanchez M.:</t>
        </r>
        <r>
          <rPr>
            <sz val="9"/>
            <color indexed="81"/>
            <rFont val="Tahoma"/>
            <family val="2"/>
          </rPr>
          <t xml:space="preserve">
AÑO 2022: Se cumple la meta nacional con un porcentaje de cumplimiento del 92.76%, el valor de los créditos directos otorgados en el período fue de $1.470.918.660 y el valor de los créditos directos recaudados fue de $1.364.482.067, de acuerdo al resultado anterior, la seccional tuvo una leve mejoría respecto al año anterior y siempre cumpliendo las metas. Se continuó con el proceso de cobro que se implementó en la época de cuarentena. Es importante informar que ya se iniciaron todos los proceso de cobro con los estudiantes que están en mora.</t>
        </r>
      </text>
    </comment>
    <comment ref="D66" authorId="0" shapeId="0">
      <text>
        <r>
          <rPr>
            <b/>
            <sz val="9"/>
            <color indexed="81"/>
            <rFont val="Tahoma"/>
            <family val="2"/>
          </rPr>
          <t>Gloria Amparo Sanchez:</t>
        </r>
        <r>
          <rPr>
            <sz val="9"/>
            <color indexed="81"/>
            <rFont val="Tahoma"/>
            <family val="2"/>
          </rPr>
          <t xml:space="preserve">
Controlar los créditos y montos a través de Financieras e ICETEX, con el fin de evidenciar cuantos estudiantes pasan a través de créditos indirectos y evitar que se presenten saldos antiguos.</t>
        </r>
      </text>
    </comment>
    <comment ref="E66" authorId="1" shapeId="0">
      <text>
        <r>
          <rPr>
            <b/>
            <sz val="9"/>
            <color indexed="81"/>
            <rFont val="Tahoma"/>
            <family val="2"/>
          </rPr>
          <t>Gloria A. Sanchez M.:</t>
        </r>
        <r>
          <rPr>
            <sz val="9"/>
            <color indexed="81"/>
            <rFont val="Tahoma"/>
            <family val="2"/>
          </rPr>
          <t xml:space="preserve">
Se supera la meta estándar nacional (90%), en la seccional se obtuvo un resultado del 94.27%, el valor total de los créditos otorgados por las entidades financieras fue de $3.007.844.460 y el valor total recaudado fue del 94.27%. En la Seccional se tienen controlados los créditos y monto a través de Financieras e ICETEX, es importante resaltar que los métodos de trabajo utilizados durante la vigencia 2021 por incumplimiento del ICETEX al convenio con la Universidad en la cláusula 7a. del contrato 2013-0537: se continúan implementando las acciones del período anterior. La diferencia entre el resultado obtenido y el 100%, corresponde al crédito de 51 estudiantes que no fueron desembolsados por el Icetex en el período 2022-1 y de los cuales ya iniciamos el proceso de apoyo con esta entidad para lograr recuperar no solo el dinero sino más importante aún, al estudiante. El 38% de la cartera pendiente por recaudar, pertenece a posgrado, y es de tener en cuenta que ellos manejas fechas distintas en desembolsos y calendario académico ante el ICETEX. Este ultimo se reactivo un poco mas a finales del periodo.</t>
        </r>
      </text>
    </comment>
    <comment ref="K66" authorId="1" shapeId="0">
      <text>
        <r>
          <rPr>
            <b/>
            <sz val="9"/>
            <color indexed="81"/>
            <rFont val="Tahoma"/>
            <family val="2"/>
          </rPr>
          <t>Gloria A. Sanchez M.:</t>
        </r>
        <r>
          <rPr>
            <sz val="9"/>
            <color indexed="81"/>
            <rFont val="Tahoma"/>
            <family val="2"/>
          </rPr>
          <t xml:space="preserve">
Se supera la meta estándar nacional (90%), en la seccional se obtuvo un resultado del 99.05%, el valor total de los créditos otorgados por las entidades financieras fue de $2.425.483.359 y el valor total recaudado fue $2.402.422.681.00 lo que corresponde a un 99.05% En la Seccional se tienen controlados los créditos y monto a través de Financieras e ICETEX, es importante resaltar que los métodos de trabajo utilizados durante la vigencia 2021 por incumplimiento del ICETEX al convenio con la Universidad en la cláusula 7a. del contrato 2013-0537: se continúan implementando las acciones del período anterior.
La diferencia entre el resultado obtenido y el 100%, corresponde a 08 créditos, seis de ellos son FONDOS ESPECIALES del Icetex de los cuales ya iniciamos el proceso de apoyo con esta entidad para lograr recuperar no solo el dinero sino más importante aún, al estudiante.</t>
        </r>
      </text>
    </comment>
    <comment ref="E67" authorId="1" shapeId="0">
      <text>
        <r>
          <rPr>
            <b/>
            <sz val="9"/>
            <color indexed="81"/>
            <rFont val="Tahoma"/>
            <family val="2"/>
          </rPr>
          <t>Gloria A. Sanchez M.:</t>
        </r>
        <r>
          <rPr>
            <sz val="9"/>
            <color indexed="81"/>
            <rFont val="Tahoma"/>
            <family val="2"/>
          </rPr>
          <t xml:space="preserve">
Se entregaron los 4 estados financieros obligatorios y 1 adicional solicitado por la sede principal. Aprobados por la revisoria fiscal.</t>
        </r>
      </text>
    </comment>
    <comment ref="D68" authorId="0" shapeId="0">
      <text>
        <r>
          <rPr>
            <b/>
            <sz val="9"/>
            <color indexed="81"/>
            <rFont val="Tahoma"/>
            <family val="2"/>
          </rPr>
          <t>Gloria Amparo Sanchez:</t>
        </r>
        <r>
          <rPr>
            <sz val="9"/>
            <color indexed="81"/>
            <rFont val="Tahoma"/>
            <family val="2"/>
          </rPr>
          <t xml:space="preserve">
RANGO BUENO:  90% - 80%</t>
        </r>
      </text>
    </comment>
    <comment ref="E68" authorId="1" shapeId="0">
      <text>
        <r>
          <rPr>
            <b/>
            <sz val="9"/>
            <color indexed="81"/>
            <rFont val="Tahoma"/>
            <family val="2"/>
          </rPr>
          <t>Gloria A. Sanchez M.:</t>
        </r>
        <r>
          <rPr>
            <sz val="9"/>
            <color indexed="81"/>
            <rFont val="Tahoma"/>
            <family val="2"/>
          </rPr>
          <t xml:space="preserve">
TRIMESTRE I: Se recibieron 468 solicitudes en el primer trimestre del año 2022, las 28 solicitudes que no se lograron tramitar en el tiempo establecido son por movimientos presupuestales o actividades que no estaban incluida en el plan de acción de los centros de costos. Cumpliendo con el estándar nacional del 90%</t>
        </r>
      </text>
    </comment>
    <comment ref="H68" authorId="1" shapeId="0">
      <text>
        <r>
          <rPr>
            <b/>
            <sz val="9"/>
            <color indexed="81"/>
            <rFont val="Tahoma"/>
            <family val="2"/>
          </rPr>
          <t>Gloria A. Sanchez M.:</t>
        </r>
        <r>
          <rPr>
            <sz val="9"/>
            <color indexed="81"/>
            <rFont val="Tahoma"/>
            <family val="2"/>
          </rPr>
          <t xml:space="preserve">
TRIMESTRE II: Se recibieron 641 solicitudes en el segundo trimestre del año 2022, las 22 solicitudes que no se lograron tramitar en el tiempo establecido son por movimientos presupuestales o actividades que no estaban incluida en el plan de acción de los centros de costos. Cumpliendo con el estándar nacional del 96.57%</t>
        </r>
      </text>
    </comment>
    <comment ref="K68" authorId="1" shapeId="0">
      <text>
        <r>
          <rPr>
            <b/>
            <sz val="9"/>
            <color indexed="81"/>
            <rFont val="Tahoma"/>
            <family val="2"/>
          </rPr>
          <t>Gloria A. Sanchez M.:</t>
        </r>
        <r>
          <rPr>
            <sz val="9"/>
            <color indexed="81"/>
            <rFont val="Tahoma"/>
            <family val="2"/>
          </rPr>
          <t xml:space="preserve">
TRIMESTRE III: Se recibieron 650 solicitudes en el tercer trimestre del año 2022, las 25 solicitudes que no se lograron tramitar en el tiempo establecido son por movimientos presupuestales o actividades que no estaban incluida en el plan de acción de los centros de costos. Cumpliendo con el estándar nacional del 96.17%</t>
        </r>
      </text>
    </comment>
    <comment ref="N68" authorId="1" shapeId="0">
      <text>
        <r>
          <rPr>
            <b/>
            <sz val="9"/>
            <color indexed="81"/>
            <rFont val="Tahoma"/>
            <family val="2"/>
          </rPr>
          <t>Gloria A. Sanchez M.:</t>
        </r>
        <r>
          <rPr>
            <sz val="9"/>
            <color indexed="81"/>
            <rFont val="Tahoma"/>
            <family val="2"/>
          </rPr>
          <t xml:space="preserve">
TRIMESTRE IV: Se recibieron 652 solicitudes en el cuarto trimestre del año 2022, las 18 solicitudes que no se lograron tramitar en el tiempo establecido son por movimientos presupuestales o actividades que no estaban incluida en el plan de acción de los centros de costos. Cumpliendo con el estándar nacional del 97.24%
</t>
        </r>
      </text>
    </comment>
    <comment ref="D74" authorId="0" shapeId="0">
      <text>
        <r>
          <rPr>
            <b/>
            <sz val="9"/>
            <color indexed="81"/>
            <rFont val="Tahoma"/>
            <family val="2"/>
          </rPr>
          <t>Gloria Amparo Sanchez:</t>
        </r>
        <r>
          <rPr>
            <sz val="9"/>
            <color indexed="81"/>
            <rFont val="Tahoma"/>
            <family val="2"/>
          </rPr>
          <t xml:space="preserve">
RANGO BUENO: 80%-96,9%
Monitorear el cumplimiento del acuerdo de servicio de entrega de las Certificaciones Laborales en los tiempos establecidos para cada caso. excluyendo la certificaciones Electrónicas generadas por Kactus</t>
        </r>
      </text>
    </comment>
    <comment ref="E74" authorId="1" shapeId="0">
      <text>
        <r>
          <rPr>
            <b/>
            <sz val="9"/>
            <color indexed="81"/>
            <rFont val="Tahoma"/>
            <family val="2"/>
          </rPr>
          <t>Gloria A. Sanchez M.:</t>
        </r>
        <r>
          <rPr>
            <sz val="9"/>
            <color indexed="81"/>
            <rFont val="Tahoma"/>
            <family val="2"/>
          </rPr>
          <t xml:space="preserve">
Se cumplió la meta estándar nacional, obteniendo el proceso un resultado de 98.92%, de un total de 93 solicitudes 92 fueron contestadas dentro del tiempo establecido en el acuerdo de servicios.</t>
        </r>
      </text>
    </comment>
    <comment ref="D75" authorId="0" shapeId="0">
      <text>
        <r>
          <rPr>
            <b/>
            <sz val="9"/>
            <color indexed="81"/>
            <rFont val="Tahoma"/>
            <family val="2"/>
          </rPr>
          <t>Gloria Amparo Sanchez:</t>
        </r>
        <r>
          <rPr>
            <sz val="9"/>
            <color indexed="81"/>
            <rFont val="Tahoma"/>
            <family val="2"/>
          </rPr>
          <t xml:space="preserve">
RANGO BUENO: 70%-79,9%</t>
        </r>
      </text>
    </comment>
    <comment ref="D76" authorId="0" shapeId="0">
      <text>
        <r>
          <rPr>
            <b/>
            <sz val="9"/>
            <color indexed="81"/>
            <rFont val="Tahoma"/>
            <family val="2"/>
          </rPr>
          <t>Gloria Amparo Sanchez:</t>
        </r>
        <r>
          <rPr>
            <sz val="9"/>
            <color indexed="81"/>
            <rFont val="Tahoma"/>
            <family val="2"/>
          </rPr>
          <t xml:space="preserve">
RANGO BUENO:  70%-79,9%</t>
        </r>
      </text>
    </comment>
    <comment ref="E76" authorId="1" shapeId="0">
      <text>
        <r>
          <rPr>
            <b/>
            <sz val="9"/>
            <color indexed="81"/>
            <rFont val="Tahoma"/>
            <family val="2"/>
          </rPr>
          <t>Gloria A. Sanchez M.:</t>
        </r>
        <r>
          <rPr>
            <sz val="9"/>
            <color indexed="81"/>
            <rFont val="Tahoma"/>
            <family val="2"/>
          </rPr>
          <t xml:space="preserve">
Se evaluó la evaluación de desempeño del período 2021: Se cumplió con el indicador frente a la población evaluada, de un total de 134 trabajadores evaluados, 132 obtuvieron una calificación mayor de 70 puntos en la evaluación del desempeño, obteniéndose un 98,51% de cumplimiento.</t>
        </r>
      </text>
    </comment>
    <comment ref="D77" authorId="0" shapeId="0">
      <text>
        <r>
          <rPr>
            <b/>
            <sz val="9"/>
            <color indexed="81"/>
            <rFont val="Tahoma"/>
            <family val="2"/>
          </rPr>
          <t>Gloria Amparo Sanchez:</t>
        </r>
        <r>
          <rPr>
            <sz val="9"/>
            <color indexed="81"/>
            <rFont val="Tahoma"/>
            <family val="2"/>
          </rPr>
          <t xml:space="preserve">
RANGO BUENO: 80%-89%</t>
        </r>
      </text>
    </comment>
    <comment ref="D82" authorId="1" shapeId="0">
      <text>
        <r>
          <rPr>
            <b/>
            <sz val="9"/>
            <color indexed="81"/>
            <rFont val="Tahoma"/>
            <family val="2"/>
          </rPr>
          <t>Gloria A. Sanchez M.:</t>
        </r>
        <r>
          <rPr>
            <sz val="9"/>
            <color indexed="81"/>
            <rFont val="Tahoma"/>
            <family val="2"/>
          </rPr>
          <t xml:space="preserve">
Determinar el grado de cumplimiento de los temas críticos de capacitación</t>
        </r>
      </text>
    </comment>
    <comment ref="E82" authorId="2" shapeId="0">
      <text>
        <r>
          <rPr>
            <b/>
            <sz val="9"/>
            <color indexed="81"/>
            <rFont val="Tahoma"/>
            <family val="2"/>
          </rPr>
          <t>Gloria A:</t>
        </r>
        <r>
          <rPr>
            <sz val="9"/>
            <color indexed="81"/>
            <rFont val="Tahoma"/>
            <family val="2"/>
          </rPr>
          <t xml:space="preserve">
AÑO 2022: Se cumplió la meta estándar nacional 100% o superior de cumplimiento al plan de formación. Se programaron y realizaron 8 capacitaciones equivalente al 100%. Éstas corresponden a las programadas y realizadas por la Dirección de Gestión Humana a saber: 1. Nueva mesa de ayuda de sistemas; 2. Taller de ortografía y técnicas de redacción; 3. Servicio al cliente; 4. Habilidades comunicativas; 5. Planeación y cultura financiera en el hogar; 6. Alimentación sana y hábitos saludables; 7. Lo que debes saber del sistema general de seguridad social en pensiones; 8. Manejo de la información personal</t>
        </r>
      </text>
    </comment>
    <comment ref="D83" authorId="1" shapeId="0">
      <text>
        <r>
          <rPr>
            <b/>
            <sz val="9"/>
            <color indexed="81"/>
            <rFont val="Tahoma"/>
            <family val="2"/>
          </rPr>
          <t>Gloria A. Sanchez M.:</t>
        </r>
        <r>
          <rPr>
            <sz val="9"/>
            <color indexed="81"/>
            <rFont val="Tahoma"/>
            <family val="2"/>
          </rPr>
          <t xml:space="preserve">
Determinar el porcentaje de personas vinculadas que cumplieron con los perfiles requeridos, para el cubrimiento de los diferentes cargos, garantizando que el personal sea idóneo para ellos.</t>
        </r>
      </text>
    </comment>
    <comment ref="E84" authorId="1" shapeId="0">
      <text>
        <r>
          <rPr>
            <b/>
            <sz val="9"/>
            <color indexed="81"/>
            <rFont val="Tahoma"/>
            <family val="2"/>
          </rPr>
          <t>Gloria A. Sanchez M.:</t>
        </r>
        <r>
          <rPr>
            <sz val="9"/>
            <color indexed="81"/>
            <rFont val="Tahoma"/>
            <family val="2"/>
          </rPr>
          <t xml:space="preserve">
2022-1: Se cumplió la meta estándar nacional, la seccional obtuvo un resultado del 10%, de un total de 10 trabajadores vinculados durante el primer semestre del año 2022, 9 cumplieron con el perfil, las vinculaciones fueron:
Nathalia Puerta Mejía - Coordinadora del Programa de Permanencia con Calidad Bienestar
Brenda Natalia Murillo Chará - Técnico Administrativo III Dirección Financiera
Valeria Sánchez Patiño - Técnico Administrativo III Dirección Financiera
Laura Daniela Loaiza Hernández - Técnico Administrativo II Posgrados
Luis Cristóbal Ospina Montoya - Rector Seccional
Adriana Felissa Guzmán Maya - Coordinadora de Gestión Ambiental
Widian Guasarabe Osorio - Auxiliar III de Servicios Generales
Alejandro Giraldo Maya - Profesional Universitario II Secretaría Seccional
Manuel Fernando Vanegas Vásquez - Técnico Administrativo III Dirección Financiera
Ángela María Arias Toro - Coordinadora de la Oficina de Relaciones Interinstitucionales (ORI)</t>
        </r>
      </text>
    </comment>
    <comment ref="K84" authorId="2" shapeId="0">
      <text>
        <r>
          <rPr>
            <b/>
            <sz val="9"/>
            <color indexed="81"/>
            <rFont val="Tahoma"/>
            <family val="2"/>
          </rPr>
          <t>Gloria A:</t>
        </r>
        <r>
          <rPr>
            <sz val="9"/>
            <color indexed="81"/>
            <rFont val="Tahoma"/>
            <family val="2"/>
          </rPr>
          <t xml:space="preserve">
2022-2: Se cumplió la meta estándar nacional, la seccional obtuvo un resultado del 100%, de un total de 2 trabajadores vinculados durante el segundo semestre del año 2022, 2 cumplieron con el perfil, las vinculaciones fueron:
Dora Lilia Montoya Agudelo - Aseadora y oficios varios.
Deisy Catalina Rojas Zambrano - Técnico Administrativo III Dirección Financiera</t>
        </r>
      </text>
    </comment>
    <comment ref="E86" authorId="2" shapeId="0">
      <text>
        <r>
          <rPr>
            <b/>
            <sz val="9"/>
            <color indexed="81"/>
            <rFont val="Tahoma"/>
            <family val="2"/>
          </rPr>
          <t>Gloria A:</t>
        </r>
        <r>
          <rPr>
            <sz val="9"/>
            <color indexed="81"/>
            <rFont val="Tahoma"/>
            <family val="2"/>
          </rPr>
          <t xml:space="preserve">
Desde el área de Gestión Humana se adoptó una estrategia de austeridad del gasto, y se proyectó un plan de capacitación con el apoyo del departamento de Sistemas de la Universidad, del área de Bienestar Universitario y de las cuatro Facultades. De tal forma que, las actividades de inducción y reinducción fueran pertinentes, con gran aporte para el talento humano pero sin generar costos para la Institución.</t>
        </r>
      </text>
    </comment>
    <comment ref="E87" authorId="1" shapeId="0">
      <text>
        <r>
          <rPr>
            <b/>
            <sz val="9"/>
            <color indexed="81"/>
            <rFont val="Tahoma"/>
            <family val="2"/>
          </rPr>
          <t>Gloria A. Sanchez M.:</t>
        </r>
        <r>
          <rPr>
            <sz val="9"/>
            <color indexed="81"/>
            <rFont val="Tahoma"/>
            <family val="2"/>
          </rPr>
          <t xml:space="preserve">
En el primer trimestre del año 2022 se dictaron 2 capacitaciones y/o reinducciones a saber:
NUEVA MESA DE AYUDA DE SISTEMAS: Se convocaron 144 personas y asistieron 105, esto es, un 72%
TALLER DE ORTOGRAFÍAY TÉCNICAS DE REDACCIÓN: Se convocaron 144 personas y asistieron 136, esto es, un 94%</t>
        </r>
      </text>
    </comment>
    <comment ref="H87" authorId="1" shapeId="0">
      <text>
        <r>
          <rPr>
            <b/>
            <sz val="9"/>
            <color indexed="81"/>
            <rFont val="Tahoma"/>
            <family val="2"/>
          </rPr>
          <t>Gloria A. Sanchez M.:</t>
        </r>
        <r>
          <rPr>
            <sz val="9"/>
            <color indexed="81"/>
            <rFont val="Tahoma"/>
            <family val="2"/>
          </rPr>
          <t xml:space="preserve">
En el segundo trimestre del año 2022 se dictaron 2 capacitaciones y/o reinducciones a saber:
SERVICIO AL CLIENTE: Se convocaron 144 personas y asistieron 109, esto es, un 75%
HABILIDADES COMUNICATIVAS: Se inscribieron 30 personas y asistieron 25, esto es, un 83%
PLANEACIÓN Y CULTURA FINANCIERA EN EL HOGAR: Se convocaron 144 personas y asistieron 100, esto es, un 69%</t>
        </r>
      </text>
    </comment>
    <comment ref="K87" authorId="1" shapeId="0">
      <text>
        <r>
          <rPr>
            <b/>
            <sz val="9"/>
            <color indexed="81"/>
            <rFont val="Tahoma"/>
            <family val="2"/>
          </rPr>
          <t>Gloria A. Sanchez M.:</t>
        </r>
        <r>
          <rPr>
            <sz val="9"/>
            <color indexed="81"/>
            <rFont val="Tahoma"/>
            <family val="2"/>
          </rPr>
          <t xml:space="preserve">
En el tercer trimestre del año 2022 se dictaron 2 capacitaciones y/o reinducciones a saber:
ALIMENTACIÓN SANA - HABITOS SALUDABLES: Se convocaron 144 personas y asistieron 80, esto es, un 55%
SISTEMA GENERAL DE SEGURIDAD SOCIAL EN PENSIONES: Se convocaron 144 personas y asistieron 113, esto es, un 78%</t>
        </r>
      </text>
    </comment>
    <comment ref="N87" authorId="2" shapeId="0">
      <text>
        <r>
          <rPr>
            <b/>
            <sz val="9"/>
            <color indexed="81"/>
            <rFont val="Tahoma"/>
            <family val="2"/>
          </rPr>
          <t>Gloria A:</t>
        </r>
        <r>
          <rPr>
            <sz val="9"/>
            <color indexed="81"/>
            <rFont val="Tahoma"/>
            <family val="2"/>
          </rPr>
          <t xml:space="preserve">
En el cuarto trimestre del año 2022 se dictó 1 capacitación a saber:
MANEJO DE LA INFORMACIÓN PERSONAL: Se convocaron 144 personas y asistieron 108, esto es, un 75%</t>
        </r>
      </text>
    </comment>
    <comment ref="E89" authorId="1" shapeId="0">
      <text>
        <r>
          <rPr>
            <b/>
            <sz val="9"/>
            <color indexed="81"/>
            <rFont val="Tahoma"/>
            <family val="2"/>
          </rPr>
          <t>Gloria A. Sanchez M.:</t>
        </r>
        <r>
          <rPr>
            <sz val="9"/>
            <color indexed="81"/>
            <rFont val="Tahoma"/>
            <family val="2"/>
          </rPr>
          <t xml:space="preserve">
Durante el primer trimestre del año 2022, se dictaron dos capacitaciones a saber: Nueva Mesa de Ayuda y Taller de Ortografía. Las cuales por la aplicabilidad del tema respecto al cargo que desempeñan los asistentes en la Institución; por ser los temas abordados acordes con los objetivos y las expectativas; por ser el material utilizado por el expositor claro y útil; por el conocimiento, claridad y calidad del expositor, fueron evaluadas satisfactoriamente.
</t>
        </r>
      </text>
    </comment>
    <comment ref="H89" authorId="1" shapeId="0">
      <text>
        <r>
          <rPr>
            <b/>
            <sz val="9"/>
            <color indexed="81"/>
            <rFont val="Tahoma"/>
            <family val="2"/>
          </rPr>
          <t>Gloria A. Sanchez M.:</t>
        </r>
        <r>
          <rPr>
            <sz val="9"/>
            <color indexed="81"/>
            <rFont val="Tahoma"/>
            <family val="2"/>
          </rPr>
          <t xml:space="preserve">
Durante el segundo trimestre del año 2022, se dictaron tres capacitaciones a saber: Servicio al cliente, Habilidades Comunicativas y Planeación y Cultura Financiera en el Hogar. Las cuales por la aplicabilidad del tema respecto al cargo que desempeñan los asistentes en la Institución; por ser los temas abordados acordes con los objetivos y las expectativas; por ser el material utilizado por el expositor claro y útil; por el conocimiento, claridad y calidad del expositor, fueron evaluadas satisfactoriamente.</t>
        </r>
      </text>
    </comment>
    <comment ref="K89" authorId="1" shapeId="0">
      <text>
        <r>
          <rPr>
            <b/>
            <sz val="9"/>
            <color indexed="81"/>
            <rFont val="Tahoma"/>
            <family val="2"/>
          </rPr>
          <t>Gloria A. Sanchez M.:</t>
        </r>
        <r>
          <rPr>
            <sz val="9"/>
            <color indexed="81"/>
            <rFont val="Tahoma"/>
            <family val="2"/>
          </rPr>
          <t xml:space="preserve">
Durante el tercer trimestre del año 2022, se dictaron dos capacitaciones a saber: Habitos Saludables y Seguridad Social en Pensiones. Las cuales por la aplicabilidad del tema respecto al cargo que desempeñan los asistentes en la Institución; por ser los temas abordados acordes con los objetivos y las expectativas; por ser el material utilizado por el expositor claro y útil; por el conocimiento, claridad y calidad del expositor, fueron evaluadas satisfactoriamente.</t>
        </r>
      </text>
    </comment>
    <comment ref="N89" authorId="2" shapeId="0">
      <text>
        <r>
          <rPr>
            <b/>
            <sz val="9"/>
            <color indexed="81"/>
            <rFont val="Tahoma"/>
            <family val="2"/>
          </rPr>
          <t>Gloria A:</t>
        </r>
        <r>
          <rPr>
            <sz val="9"/>
            <color indexed="81"/>
            <rFont val="Tahoma"/>
            <family val="2"/>
          </rPr>
          <t xml:space="preserve">
Durante el cuarto trimestre del año 2022, se dictó una capacitación a saber: Manejo de la Información Personal. La cual por la aplicabilidad del tema respecto al cargo que desempeñan los asistentes en la Institución; por ser los temas abordados acordes con los objetivos y las expectativas; por ser el material utilizado por el expositor claro y útil; por el conocimiento, claridad y calidad del expositor, fue evaluada satisfactoriamente.</t>
        </r>
      </text>
    </comment>
    <comment ref="E91" authorId="1" shapeId="0">
      <text>
        <r>
          <rPr>
            <b/>
            <sz val="9"/>
            <color indexed="81"/>
            <rFont val="Tahoma"/>
            <family val="2"/>
          </rPr>
          <t>Gloria A. Sanchez M.:</t>
        </r>
        <r>
          <rPr>
            <sz val="9"/>
            <color indexed="81"/>
            <rFont val="Tahoma"/>
            <family val="2"/>
          </rPr>
          <t xml:space="preserve">
En el periodo comprendido de enero a diciembre de 2022 no se presentaron casos de EL, ni fueron detectados casos de años anteriores. El promedio de trabajadores al año fue de 1081.</t>
        </r>
      </text>
    </comment>
    <comment ref="E93" authorId="3" shapeId="0">
      <text>
        <r>
          <rPr>
            <b/>
            <sz val="9"/>
            <color indexed="81"/>
            <rFont val="Tahoma"/>
            <family val="2"/>
          </rPr>
          <t>Docente:</t>
        </r>
        <r>
          <rPr>
            <sz val="9"/>
            <color indexed="81"/>
            <rFont val="Tahoma"/>
            <family val="2"/>
          </rPr>
          <t xml:space="preserve">
El índice de ausentismo para el mes de enero fue de 316%. teniendo en cuenta que se presentaron 38 días de ausencia del algunos trabajadores por enfermedad común, frente a 12 días programados para laborar en este mes, no se evidencia incapacidad por origen laboral.</t>
        </r>
      </text>
    </comment>
    <comment ref="F93" authorId="1" shapeId="0">
      <text>
        <r>
          <rPr>
            <b/>
            <sz val="9"/>
            <color indexed="81"/>
            <rFont val="Tahoma"/>
            <family val="2"/>
          </rPr>
          <t>Gloria A. Sanchez M.:</t>
        </r>
        <r>
          <rPr>
            <sz val="9"/>
            <color indexed="81"/>
            <rFont val="Tahoma"/>
            <family val="2"/>
          </rPr>
          <t xml:space="preserve">
El índice de ausentismo para el mes de febrero fue de 590%. teniendo en cuenta que se presentaron 20 días de ausencia del algunos trabajadores por enfermedad común, frente a 20 días programados para laborar en este mes.</t>
        </r>
      </text>
    </comment>
    <comment ref="G93" authorId="1" shapeId="0">
      <text>
        <r>
          <rPr>
            <b/>
            <sz val="9"/>
            <color indexed="81"/>
            <rFont val="Tahoma"/>
            <family val="2"/>
          </rPr>
          <t>Gloria A. Sanchez M.:</t>
        </r>
        <r>
          <rPr>
            <sz val="9"/>
            <color indexed="81"/>
            <rFont val="Tahoma"/>
            <family val="2"/>
          </rPr>
          <t xml:space="preserve">
El índice de ausentismo para el mes de marzo fue de 777%. teniendo en cuenta que se presentaron 171 días de ausencia del algunos trabajadores por enfermedad común, frente a 22 días programados para laborar en este mes.</t>
        </r>
      </text>
    </comment>
    <comment ref="H93" authorId="1" shapeId="0">
      <text>
        <r>
          <rPr>
            <b/>
            <sz val="9"/>
            <color indexed="81"/>
            <rFont val="Tahoma"/>
            <family val="2"/>
          </rPr>
          <t>Gloria A. Sanchez M.:</t>
        </r>
        <r>
          <rPr>
            <sz val="9"/>
            <color indexed="81"/>
            <rFont val="Tahoma"/>
            <family val="2"/>
          </rPr>
          <t xml:space="preserve">
El índice de ausentismo para el mes de abril fue de 862%. teniendo en cuenta que se presentaron 138 días de ausencia del algunos trabajadores por enfermedad común, frente a 16 días programados para laborar en este mes.</t>
        </r>
      </text>
    </comment>
    <comment ref="I93" authorId="1" shapeId="0">
      <text>
        <r>
          <rPr>
            <b/>
            <sz val="9"/>
            <color indexed="81"/>
            <rFont val="Tahoma"/>
            <family val="2"/>
          </rPr>
          <t>Gloria A. Sanchez M.:</t>
        </r>
        <r>
          <rPr>
            <sz val="9"/>
            <color indexed="81"/>
            <rFont val="Tahoma"/>
            <family val="2"/>
          </rPr>
          <t xml:space="preserve">
El índice de ausentismo para el mes de mayo fue de 557%. teniendo en cuenta que se presentaron 99 días de ausencia del algunos trabajadores por enfermedad común y 18 días por enfermedad laboral, frente a 21 días programados para laborar en este mes.</t>
        </r>
      </text>
    </comment>
    <comment ref="J93" authorId="1" shapeId="0">
      <text>
        <r>
          <rPr>
            <b/>
            <sz val="9"/>
            <color indexed="81"/>
            <rFont val="Tahoma"/>
            <family val="2"/>
          </rPr>
          <t>Gloria A. Sanchez M.:</t>
        </r>
        <r>
          <rPr>
            <sz val="9"/>
            <color indexed="81"/>
            <rFont val="Tahoma"/>
            <family val="2"/>
          </rPr>
          <t xml:space="preserve">
El índice de ausentismo para el mes de Junio fue de 515%. teniendo en cuenta que se presentaron 101 días de ausencia del algunos trabajadores por enfermedad común y 2 días por enfermedad laboral, frente a 20 días programados para laborar en este mes.</t>
        </r>
      </text>
    </comment>
    <comment ref="K93" authorId="1" shapeId="0">
      <text>
        <r>
          <rPr>
            <b/>
            <sz val="9"/>
            <color indexed="81"/>
            <rFont val="Tahoma"/>
            <family val="2"/>
          </rPr>
          <t>Gloria A. Sanchez M.:</t>
        </r>
        <r>
          <rPr>
            <sz val="9"/>
            <color indexed="81"/>
            <rFont val="Tahoma"/>
            <family val="2"/>
          </rPr>
          <t xml:space="preserve">
El índice de ausentismo para el mes de Julio fue de 585%. teniendo en cuenta que se presentaron 117 días de ausencia del algunos trabajadores por enfermedad común, sin días registrados por enfermedad laboral, frente a 20 días programados para laborar en este mes.</t>
        </r>
      </text>
    </comment>
    <comment ref="L93" authorId="1" shapeId="0">
      <text>
        <r>
          <rPr>
            <b/>
            <sz val="9"/>
            <color indexed="81"/>
            <rFont val="Tahoma"/>
            <family val="2"/>
          </rPr>
          <t>Gloria A. Sanchez M.:</t>
        </r>
        <r>
          <rPr>
            <sz val="9"/>
            <color indexed="81"/>
            <rFont val="Tahoma"/>
            <family val="2"/>
          </rPr>
          <t xml:space="preserve">
El índice de ausentismo para el mes de agosto fue de 159.09%. teniendo en cuenta que se presentaron 35 días de ausencia del algunos trabajadores por enfermedad común, sin días registrados por enfermedad laboral, frente a 22 días programados para laborar en este mes.
</t>
        </r>
      </text>
    </comment>
    <comment ref="M93" authorId="1" shapeId="0">
      <text>
        <r>
          <rPr>
            <b/>
            <sz val="9"/>
            <color indexed="81"/>
            <rFont val="Tahoma"/>
            <family val="2"/>
          </rPr>
          <t>Gloria A. Sanchez M.:</t>
        </r>
        <r>
          <rPr>
            <sz val="9"/>
            <color indexed="81"/>
            <rFont val="Tahoma"/>
            <family val="2"/>
          </rPr>
          <t xml:space="preserve">
El índice de ausentismo para el mes de septiembre fue de 540.91%. teniendo en cuenta que se presentaron 119 días de ausencia del algunos trabajadores por enfermedad común, sin días registrados por enfermedad laboral, frente a 22 días programados para laborar en este mes.</t>
        </r>
      </text>
    </comment>
    <comment ref="N93" authorId="1" shapeId="0">
      <text>
        <r>
          <rPr>
            <b/>
            <sz val="9"/>
            <color indexed="81"/>
            <rFont val="Tahoma"/>
            <family val="2"/>
          </rPr>
          <t>Gloria A. Sanchez M.:</t>
        </r>
        <r>
          <rPr>
            <sz val="9"/>
            <color indexed="81"/>
            <rFont val="Tahoma"/>
            <family val="2"/>
          </rPr>
          <t xml:space="preserve">
El índice de ausentismo para el mes de octubre fue de 650%. teniendo en cuenta que se presentaron 130 días de ausencia del algunos trabajadores por enfermedad común, sin días registrados por enfermedad laboral, frente a 20 días programados para laborar en este mes.</t>
        </r>
      </text>
    </comment>
    <comment ref="O93" authorId="1" shapeId="0">
      <text>
        <r>
          <rPr>
            <b/>
            <sz val="9"/>
            <color indexed="81"/>
            <rFont val="Tahoma"/>
            <family val="2"/>
          </rPr>
          <t>Gloria A. Sanchez M.:</t>
        </r>
        <r>
          <rPr>
            <sz val="9"/>
            <color indexed="81"/>
            <rFont val="Tahoma"/>
            <family val="2"/>
          </rPr>
          <t xml:space="preserve">
El índice de ausentismo para el mes de noviembre fue de 580%. teniendo en cuenta que se presentaron 116 días de ausencia del algunos trabajadores por enfermedad común, sin días registrados por enfermedad laboral, frente a 20 días programados para laborar en este mes.</t>
        </r>
      </text>
    </comment>
    <comment ref="P93" authorId="1" shapeId="0">
      <text>
        <r>
          <rPr>
            <b/>
            <sz val="9"/>
            <color indexed="81"/>
            <rFont val="Tahoma"/>
            <family val="2"/>
          </rPr>
          <t>Gloria A. Sanchez M.:</t>
        </r>
        <r>
          <rPr>
            <sz val="9"/>
            <color indexed="81"/>
            <rFont val="Tahoma"/>
            <family val="2"/>
          </rPr>
          <t xml:space="preserve">
El índice de ausentismo para el mes de noviembre fue de 418%. teniendo en cuenta que se presentaron 46 días de ausencia del algunos trabajadores por enfermedad común, sin días registrados por enfermedad laboral, frente a 11 días programados para laborar en este mes.
</t>
        </r>
      </text>
    </comment>
    <comment ref="E95" authorId="1" shapeId="0">
      <text>
        <r>
          <rPr>
            <b/>
            <sz val="9"/>
            <color indexed="81"/>
            <rFont val="Tahoma"/>
            <family val="2"/>
          </rPr>
          <t>Gloria A. Sanchez M.:</t>
        </r>
        <r>
          <rPr>
            <sz val="9"/>
            <color indexed="81"/>
            <rFont val="Tahoma"/>
            <family val="2"/>
          </rPr>
          <t xml:space="preserve">
Durante el mes de enero no se presentan accidentes de trabajo (AT) en la seccional Pereira, lo cual se refleja en 0% del indicador del mes, de un total de 546 trabajadores entre administrativos, docentes y estudiantes en práctica
</t>
        </r>
      </text>
    </comment>
    <comment ref="F95" authorId="1" shapeId="0">
      <text>
        <r>
          <rPr>
            <b/>
            <sz val="9"/>
            <color indexed="81"/>
            <rFont val="Tahoma"/>
            <family val="2"/>
          </rPr>
          <t>Gloria A. Sanchez M.:</t>
        </r>
        <r>
          <rPr>
            <sz val="9"/>
            <color indexed="81"/>
            <rFont val="Tahoma"/>
            <family val="2"/>
          </rPr>
          <t xml:space="preserve">
Durante el mes de febrero no se presentan accidentes de trabajo (AT) en la seccional Pereira.</t>
        </r>
      </text>
    </comment>
    <comment ref="G95" authorId="1" shapeId="0">
      <text>
        <r>
          <rPr>
            <b/>
            <sz val="9"/>
            <color indexed="81"/>
            <rFont val="Tahoma"/>
            <family val="2"/>
          </rPr>
          <t>Gloria A. Sanchez M.:</t>
        </r>
        <r>
          <rPr>
            <sz val="9"/>
            <color indexed="81"/>
            <rFont val="Tahoma"/>
            <family val="2"/>
          </rPr>
          <t xml:space="preserve">
Para el mes de Marzo de 2022, se presentaron 2 accidentes de trabajo con una población de 1177 trabajadores, generando un IF de 0,88 en la Seccional Pereira.</t>
        </r>
      </text>
    </comment>
    <comment ref="H95" authorId="1" shapeId="0">
      <text>
        <r>
          <rPr>
            <b/>
            <sz val="9"/>
            <color indexed="81"/>
            <rFont val="Tahoma"/>
            <family val="2"/>
          </rPr>
          <t>Gloria A. Sanchez M.:</t>
        </r>
        <r>
          <rPr>
            <sz val="9"/>
            <color indexed="81"/>
            <rFont val="Tahoma"/>
            <family val="2"/>
          </rPr>
          <t xml:space="preserve">
Para el mes de Abril de 2022, se presentó 1 accidente de trabajo con una población de 1236 trabajadores, generando un IF de 0,08 en la Seccional Pereira.</t>
        </r>
      </text>
    </comment>
    <comment ref="I95" authorId="1" shapeId="0">
      <text>
        <r>
          <rPr>
            <b/>
            <sz val="9"/>
            <color indexed="81"/>
            <rFont val="Tahoma"/>
            <family val="2"/>
          </rPr>
          <t>Gloria A. Sanchez M.:</t>
        </r>
        <r>
          <rPr>
            <sz val="9"/>
            <color indexed="81"/>
            <rFont val="Tahoma"/>
            <family val="2"/>
          </rPr>
          <t xml:space="preserve">
Para el mes de Mayo de 2022, se presentó 1 accidente de trabajo con una población de 1196 trabajadores, generando un IF de 0,08 en la Seccional Pereira.</t>
        </r>
      </text>
    </comment>
    <comment ref="J95" authorId="1" shapeId="0">
      <text>
        <r>
          <rPr>
            <b/>
            <sz val="9"/>
            <color indexed="81"/>
            <rFont val="Tahoma"/>
            <family val="2"/>
          </rPr>
          <t>Gloria A. Sanchez M.:</t>
        </r>
        <r>
          <rPr>
            <sz val="9"/>
            <color indexed="81"/>
            <rFont val="Tahoma"/>
            <family val="2"/>
          </rPr>
          <t xml:space="preserve">
Para el mes de Junio de 2022, se presentó 1 accidente de trabajo con una población de 1114 trabajadores, generando un IF de 0,09 en la Seccional Pereira.</t>
        </r>
      </text>
    </comment>
    <comment ref="K95" authorId="1" shapeId="0">
      <text>
        <r>
          <rPr>
            <b/>
            <sz val="9"/>
            <color indexed="81"/>
            <rFont val="Tahoma"/>
            <family val="2"/>
          </rPr>
          <t>Gloria A. Sanchez M.:</t>
        </r>
        <r>
          <rPr>
            <sz val="9"/>
            <color indexed="81"/>
            <rFont val="Tahoma"/>
            <family val="2"/>
          </rPr>
          <t xml:space="preserve">
Para el mes de Julio de 2022, se presentó 1 accidente de trabajo con una población de 1089 trabajadores, generando un IF de 0,09 en la Seccional Pereira.</t>
        </r>
      </text>
    </comment>
    <comment ref="L95" authorId="1" shapeId="0">
      <text>
        <r>
          <rPr>
            <b/>
            <sz val="9"/>
            <color indexed="81"/>
            <rFont val="Tahoma"/>
            <family val="2"/>
          </rPr>
          <t>Gloria A. Sanchez M.:</t>
        </r>
        <r>
          <rPr>
            <sz val="9"/>
            <color indexed="81"/>
            <rFont val="Tahoma"/>
            <family val="2"/>
          </rPr>
          <t xml:space="preserve">
Para el mes de Agosto de 2022, se presentaron 2accidentes de trabajo con una población de 1129 trabajadores, generando un IF de 0,09 para este mes en la Seccional Pereira.</t>
        </r>
      </text>
    </comment>
    <comment ref="M95" authorId="1" shapeId="0">
      <text>
        <r>
          <rPr>
            <b/>
            <sz val="9"/>
            <color indexed="81"/>
            <rFont val="Tahoma"/>
            <family val="2"/>
          </rPr>
          <t>Gloria A. Sanchez M.:</t>
        </r>
        <r>
          <rPr>
            <sz val="9"/>
            <color indexed="81"/>
            <rFont val="Tahoma"/>
            <family val="2"/>
          </rPr>
          <t xml:space="preserve">
Para el mes de Septiembre de 2022, se presentó 1 accidente de trabajo con una población de 1215 trabajadores, generando un IF de 0,08 para este mes en la Seccional Pereira.</t>
        </r>
      </text>
    </comment>
    <comment ref="N95" authorId="1" shapeId="0">
      <text>
        <r>
          <rPr>
            <b/>
            <sz val="9"/>
            <color indexed="81"/>
            <rFont val="Tahoma"/>
            <family val="2"/>
          </rPr>
          <t>Gloria A. Sanchez M.:</t>
        </r>
        <r>
          <rPr>
            <sz val="9"/>
            <color indexed="81"/>
            <rFont val="Tahoma"/>
            <family val="2"/>
          </rPr>
          <t xml:space="preserve">
Para el mes de Noviembre de 2022, se presentó 1 accidente de trabajo con una población de 1122 trabajadores, generando un IF de 0,09 para este mes en la Seccional Pereira.</t>
        </r>
      </text>
    </comment>
    <comment ref="O95" authorId="1" shapeId="0">
      <text>
        <r>
          <rPr>
            <b/>
            <sz val="9"/>
            <color indexed="81"/>
            <rFont val="Tahoma"/>
            <family val="2"/>
          </rPr>
          <t>Gloria A. Sanchez M.:</t>
        </r>
        <r>
          <rPr>
            <sz val="9"/>
            <color indexed="81"/>
            <rFont val="Tahoma"/>
            <family val="2"/>
          </rPr>
          <t xml:space="preserve">
Para el mes de Noviembre de 2022, se presentó 1 accidente de trabajo con una población de 1122 trabajadores, generando un IF de 0,09 para este mes en la Seccional Pereira.</t>
        </r>
      </text>
    </comment>
    <comment ref="P95" authorId="2" shapeId="0">
      <text>
        <r>
          <rPr>
            <b/>
            <sz val="9"/>
            <color indexed="81"/>
            <rFont val="Tahoma"/>
            <family val="2"/>
          </rPr>
          <t>Gloria A:</t>
        </r>
        <r>
          <rPr>
            <sz val="9"/>
            <color indexed="81"/>
            <rFont val="Tahoma"/>
            <family val="2"/>
          </rPr>
          <t xml:space="preserve">
Para el mes de Diciembre de 2022, no se presentaron accidentes de trabajo. la población de trabajadores de este mes fue de 408 trabajadores, generando un IF de 0,0 para este mes en la Seccional Pereira.</t>
        </r>
      </text>
    </comment>
    <comment ref="E97" authorId="3" shapeId="0">
      <text>
        <r>
          <rPr>
            <b/>
            <sz val="9"/>
            <color indexed="81"/>
            <rFont val="Tahoma"/>
            <family val="2"/>
          </rPr>
          <t>Docente:</t>
        </r>
        <r>
          <rPr>
            <sz val="9"/>
            <color indexed="81"/>
            <rFont val="Tahoma"/>
            <family val="2"/>
          </rPr>
          <t xml:space="preserve">
Debido a que durante el mes de enero no se presentó ningún accidente laboral, tampoco se presentaron días perdidos provenientes de incapacidades derivadas de dichos eventos , con un total de 546 trabajadores activos, incluyendo estudiantes de prácticas reportados a la fecha por las Facultades.</t>
        </r>
      </text>
    </comment>
    <comment ref="F97" authorId="1" shapeId="0">
      <text>
        <r>
          <rPr>
            <b/>
            <sz val="9"/>
            <color indexed="81"/>
            <rFont val="Tahoma"/>
            <family val="2"/>
          </rPr>
          <t>Gloria A. Sanchez M.:</t>
        </r>
        <r>
          <rPr>
            <sz val="9"/>
            <color indexed="81"/>
            <rFont val="Tahoma"/>
            <family val="2"/>
          </rPr>
          <t xml:space="preserve">
Para el mes de Febrero de 2022, se presentaron 30 días de incapacidad por accidentes de trabajo para la seccional Pereira.</t>
        </r>
      </text>
    </comment>
    <comment ref="G97" authorId="1" shapeId="0">
      <text>
        <r>
          <rPr>
            <b/>
            <sz val="9"/>
            <color indexed="81"/>
            <rFont val="Tahoma"/>
            <family val="2"/>
          </rPr>
          <t>Gloria A. Sanchez M.:</t>
        </r>
        <r>
          <rPr>
            <sz val="9"/>
            <color indexed="81"/>
            <rFont val="Tahoma"/>
            <family val="2"/>
          </rPr>
          <t xml:space="preserve">
Para el mes de Marzo de 2022, se presentaron 34 días de incapacidad por accidentes de trabajo para la seccional Pereira , con un total de 1.177 trabajadores activos, incluyendo estudiantes de prácticas</t>
        </r>
      </text>
    </comment>
    <comment ref="H97" authorId="1" shapeId="0">
      <text>
        <r>
          <rPr>
            <b/>
            <sz val="9"/>
            <color indexed="81"/>
            <rFont val="Tahoma"/>
            <family val="2"/>
          </rPr>
          <t>Gloria A. Sanchez M.:</t>
        </r>
        <r>
          <rPr>
            <sz val="9"/>
            <color indexed="81"/>
            <rFont val="Tahoma"/>
            <family val="2"/>
          </rPr>
          <t xml:space="preserve">
Para el mes de Abril de 2022, se presentaron 37 días de incapacidad por accidentes de trabajo para la seccional Pereira , con un total de 1.236 trabajadores activos, incluyendo estudiantes de prácticas.</t>
        </r>
      </text>
    </comment>
    <comment ref="I97" authorId="1" shapeId="0">
      <text>
        <r>
          <rPr>
            <b/>
            <sz val="9"/>
            <color indexed="81"/>
            <rFont val="Tahoma"/>
            <family val="2"/>
          </rPr>
          <t>Gloria A. Sanchez M.:
P</t>
        </r>
        <r>
          <rPr>
            <sz val="9"/>
            <color indexed="81"/>
            <rFont val="Tahoma"/>
            <family val="2"/>
          </rPr>
          <t xml:space="preserve">ara el mes de Mayo de 2022, se presentaron 31 días de incapacidad por accidentes de trabajo para la seccional Pereira , con un total de 1.196 trabajadores activos, incluyendo estudiantes de prácticas.
</t>
        </r>
        <r>
          <rPr>
            <b/>
            <sz val="9"/>
            <color indexed="81"/>
            <rFont val="Tahoma"/>
            <family val="2"/>
          </rPr>
          <t xml:space="preserve">
</t>
        </r>
      </text>
    </comment>
    <comment ref="J97" authorId="1" shapeId="0">
      <text>
        <r>
          <rPr>
            <sz val="9"/>
            <color indexed="81"/>
            <rFont val="Tahoma"/>
            <family val="2"/>
          </rPr>
          <t>Para el mes de Junio de 2022, se presentaron 2 días de incapacidad por accidentes de trabajo para la seccional Pereira , con un total de 1.114 trabajadores activos, incluyendo estudiantes de prácticas..</t>
        </r>
      </text>
    </comment>
    <comment ref="K97" authorId="1" shapeId="0">
      <text>
        <r>
          <rPr>
            <b/>
            <sz val="9"/>
            <color indexed="81"/>
            <rFont val="Tahoma"/>
            <family val="2"/>
          </rPr>
          <t>Gloria A. Sanchez M.:</t>
        </r>
        <r>
          <rPr>
            <sz val="9"/>
            <color indexed="81"/>
            <rFont val="Tahoma"/>
            <family val="2"/>
          </rPr>
          <t xml:space="preserve">
Para el mes de Julio de 2022, no se presentaron días de incapacidad por accidentes de trabajo para la seccional Pereira en 19 días laborales del mes , con un total de 1.089 trabajadores activos, incluyendo estudiantes de prácticas.</t>
        </r>
      </text>
    </comment>
    <comment ref="L97" authorId="1" shapeId="0">
      <text>
        <r>
          <rPr>
            <sz val="9"/>
            <color indexed="81"/>
            <rFont val="Tahoma"/>
            <family val="2"/>
          </rPr>
          <t xml:space="preserve">Para el mes de Agosto de 2022, no se presentaron días de incapacidad por accidentes de trabajo para la seccional Pereira en 22 días laborales del mes , con un total de 1.129 trabajadores activos, incluyendo estudiantes de prácticas.
</t>
        </r>
      </text>
    </comment>
    <comment ref="M97" authorId="1" shapeId="0">
      <text>
        <r>
          <rPr>
            <b/>
            <sz val="9"/>
            <color indexed="81"/>
            <rFont val="Tahoma"/>
            <family val="2"/>
          </rPr>
          <t>Gloria A. Sanchez M.:</t>
        </r>
        <r>
          <rPr>
            <sz val="9"/>
            <color indexed="81"/>
            <rFont val="Tahoma"/>
            <family val="2"/>
          </rPr>
          <t xml:space="preserve">
Para el mes de Septiembre de 2022, no se presentaron días de incapacidad por accidentes de trabajo para la seccional Pereira en 22 días laborales del mes.</t>
        </r>
      </text>
    </comment>
    <comment ref="N97" authorId="1" shapeId="0">
      <text>
        <r>
          <rPr>
            <b/>
            <sz val="9"/>
            <color indexed="81"/>
            <rFont val="Tahoma"/>
            <family val="2"/>
          </rPr>
          <t>Gloria A. Sanchez M.:</t>
        </r>
        <r>
          <rPr>
            <sz val="9"/>
            <color indexed="81"/>
            <rFont val="Tahoma"/>
            <family val="2"/>
          </rPr>
          <t xml:space="preserve">
Para el mes de Octubre de 2022, no se presentaron días de incapacidad por accidentes de trabajo para la seccional Pereira en 25 días laborales del mes. , con un total de 1.118 trabajadores activos, incluyendo estudiantes de prácticas.</t>
        </r>
      </text>
    </comment>
    <comment ref="O97" authorId="1" shapeId="0">
      <text>
        <r>
          <rPr>
            <b/>
            <sz val="9"/>
            <color indexed="81"/>
            <rFont val="Tahoma"/>
            <family val="2"/>
          </rPr>
          <t>Gloria A. Sanchez M.:</t>
        </r>
        <r>
          <rPr>
            <sz val="9"/>
            <color indexed="81"/>
            <rFont val="Tahoma"/>
            <family val="2"/>
          </rPr>
          <t xml:space="preserve">
ara el mes de Noviembre de 2022, no se presentaron días de incapacidad por accidentes de trabajo para la seccional Pereira en 20 días laborales del mes , con un total de 1.122 trabajadores activos, incluyendo estudiantes de prácticas.</t>
        </r>
      </text>
    </comment>
    <comment ref="P97" authorId="1" shapeId="0">
      <text>
        <r>
          <rPr>
            <b/>
            <sz val="9"/>
            <color indexed="81"/>
            <rFont val="Tahoma"/>
            <family val="2"/>
          </rPr>
          <t>Gloria A. Sanchez M.:</t>
        </r>
        <r>
          <rPr>
            <sz val="9"/>
            <color indexed="81"/>
            <rFont val="Tahoma"/>
            <family val="2"/>
          </rPr>
          <t xml:space="preserve">
ara el mes de diciembre de 2022, no se presentaron días de incapacidad por accidentes de trabajo para la seccional Pereira en 11 días laborales del mes, con un total de 408 trabajadores activos, para este período ya no se incluyen los estudiantes de prácticas</t>
        </r>
      </text>
    </comment>
    <comment ref="E99" authorId="1" shapeId="0">
      <text>
        <r>
          <rPr>
            <b/>
            <sz val="9"/>
            <color indexed="81"/>
            <rFont val="Tahoma"/>
            <family val="2"/>
          </rPr>
          <t>Gloria A. Sanchez M.:</t>
        </r>
        <r>
          <rPr>
            <sz val="9"/>
            <color indexed="81"/>
            <rFont val="Tahoma"/>
            <family val="2"/>
          </rPr>
          <t xml:space="preserve">
No se presentaron casos de AT Mortales, ni accidentes de trabajo en el mes de enero de 2022</t>
        </r>
      </text>
    </comment>
    <comment ref="F99" authorId="1" shapeId="0">
      <text>
        <r>
          <rPr>
            <b/>
            <sz val="9"/>
            <color indexed="81"/>
            <rFont val="Tahoma"/>
            <family val="2"/>
          </rPr>
          <t>Gloria A. Sanchez M.:</t>
        </r>
        <r>
          <rPr>
            <sz val="9"/>
            <color indexed="81"/>
            <rFont val="Tahoma"/>
            <family val="2"/>
          </rPr>
          <t xml:space="preserve">
Para el mes de Febrero de 2022, no se han presentado accidentes de trabajo mortales en la seccional Pereira.</t>
        </r>
      </text>
    </comment>
    <comment ref="G99" authorId="1" shapeId="0">
      <text>
        <r>
          <rPr>
            <b/>
            <sz val="9"/>
            <color indexed="81"/>
            <rFont val="Tahoma"/>
            <family val="2"/>
          </rPr>
          <t>Gloria A. Sanchez M.:</t>
        </r>
        <r>
          <rPr>
            <sz val="9"/>
            <color indexed="81"/>
            <rFont val="Tahoma"/>
            <family val="2"/>
          </rPr>
          <t xml:space="preserve">
ara el mes de Marzo de 2022, no se han presentado accidentes de trabajo mortales. En lo corrido del año se han presentado dos accidentes de trabajo leves y uno AT grave en la seccional Pereira.</t>
        </r>
      </text>
    </comment>
    <comment ref="H99" authorId="1" shapeId="0">
      <text>
        <r>
          <rPr>
            <b/>
            <sz val="9"/>
            <color indexed="81"/>
            <rFont val="Tahoma"/>
            <family val="2"/>
          </rPr>
          <t>Gloria A. Sanchez M.:</t>
        </r>
        <r>
          <rPr>
            <sz val="9"/>
            <color indexed="81"/>
            <rFont val="Tahoma"/>
            <family val="2"/>
          </rPr>
          <t xml:space="preserve">
Para el mes de Abril de 2022, no se han presentado accidentes de trabajo mortales. En lo corrido del año se han presentado 3 accidentes de trabajo leves y 1 AT grave en la seccional Pereira.</t>
        </r>
      </text>
    </comment>
    <comment ref="I99" authorId="1" shapeId="0">
      <text>
        <r>
          <rPr>
            <b/>
            <sz val="9"/>
            <color indexed="81"/>
            <rFont val="Tahoma"/>
            <family val="2"/>
          </rPr>
          <t>Gloria A. Sanchez M.:</t>
        </r>
        <r>
          <rPr>
            <sz val="9"/>
            <color indexed="81"/>
            <rFont val="Tahoma"/>
            <family val="2"/>
          </rPr>
          <t xml:space="preserve">
Para el mes de Mayo de 2022, no se han presentado accidentes de trabajo mortales. En lo corrido del año se han presentado 4 accidentes de trabajo leves y 1 AT grave en la seccional Pereira.</t>
        </r>
      </text>
    </comment>
    <comment ref="J99" authorId="1" shapeId="0">
      <text>
        <r>
          <rPr>
            <b/>
            <sz val="9"/>
            <color indexed="81"/>
            <rFont val="Tahoma"/>
            <family val="2"/>
          </rPr>
          <t>Gloria A. Sanchez M.:</t>
        </r>
        <r>
          <rPr>
            <sz val="9"/>
            <color indexed="81"/>
            <rFont val="Tahoma"/>
            <family val="2"/>
          </rPr>
          <t xml:space="preserve">
Para el mes de Junio de 2022, no se han presentado accidentes de trabajo mortales. En lo corrido del año se han presentado 5 accidentes de trabajo leves y 1 AT grave en la seccional Pereira.
</t>
        </r>
      </text>
    </comment>
    <comment ref="K99" authorId="1" shapeId="0">
      <text>
        <r>
          <rPr>
            <b/>
            <sz val="9"/>
            <color indexed="81"/>
            <rFont val="Tahoma"/>
            <family val="2"/>
          </rPr>
          <t>Gloria A. Sanchez M.:</t>
        </r>
        <r>
          <rPr>
            <sz val="9"/>
            <color indexed="81"/>
            <rFont val="Tahoma"/>
            <family val="2"/>
          </rPr>
          <t xml:space="preserve">
Para el mes de Julio de 2022, no se han presentado accidentes de trabajo mortales. En lo corrido del año se han presentado 6 accidentes de trabajo leves y 1 AT grave en la seccional Pereira.</t>
        </r>
      </text>
    </comment>
    <comment ref="L99" authorId="1" shapeId="0">
      <text>
        <r>
          <rPr>
            <b/>
            <sz val="9"/>
            <color indexed="81"/>
            <rFont val="Tahoma"/>
            <family val="2"/>
          </rPr>
          <t>Gloria A. Sanchez M.:</t>
        </r>
        <r>
          <rPr>
            <sz val="9"/>
            <color indexed="81"/>
            <rFont val="Tahoma"/>
            <family val="2"/>
          </rPr>
          <t xml:space="preserve">
Para el mes de Agosto de 2022, no se han presentado accidentes de trabajo mortales. En lo corrido del año se han presentado 7 accidentes de trabajo leves y 1 AT grave en la seccional Pereira.</t>
        </r>
      </text>
    </comment>
    <comment ref="M99" authorId="1" shapeId="0">
      <text>
        <r>
          <rPr>
            <b/>
            <sz val="9"/>
            <color indexed="81"/>
            <rFont val="Tahoma"/>
            <family val="2"/>
          </rPr>
          <t>Gloria A. Sanchez M.:</t>
        </r>
        <r>
          <rPr>
            <sz val="9"/>
            <color indexed="81"/>
            <rFont val="Tahoma"/>
            <family val="2"/>
          </rPr>
          <t xml:space="preserve">
Para el mes de Septiembre de 2022, no se han presentado accidentes de trabajo mortales. En lo corrido del año se han presentado 7 accidentes de trabajo leves y 1 AT grave en la seccional Pereira.
</t>
        </r>
      </text>
    </comment>
    <comment ref="N99" authorId="1" shapeId="0">
      <text>
        <r>
          <rPr>
            <b/>
            <sz val="9"/>
            <color indexed="81"/>
            <rFont val="Tahoma"/>
            <family val="2"/>
          </rPr>
          <t>Gloria A. Sanchez M.:</t>
        </r>
        <r>
          <rPr>
            <sz val="9"/>
            <color indexed="81"/>
            <rFont val="Tahoma"/>
            <family val="2"/>
          </rPr>
          <t xml:space="preserve">
Para el mes de Octubre de 2022, no se han presentado accidentes de trabajo mortales. En lo corrido del año se han presentado 8 accidentes de trabajo leves y 1 AT grave en la seccional Pereira.
</t>
        </r>
      </text>
    </comment>
    <comment ref="O99" authorId="1" shapeId="0">
      <text>
        <r>
          <rPr>
            <b/>
            <sz val="9"/>
            <color indexed="81"/>
            <rFont val="Tahoma"/>
            <family val="2"/>
          </rPr>
          <t>Gloria A. Sanchez M.:</t>
        </r>
        <r>
          <rPr>
            <sz val="9"/>
            <color indexed="81"/>
            <rFont val="Tahoma"/>
            <family val="2"/>
          </rPr>
          <t xml:space="preserve">
Para el mes de Noviembre de 2022, no se han presentado accidentes de trabajo mortales. En lo corrido del año se han presentado 9 accidentes de trabajo leves y 1 AT grave en la seccional Pereira.
</t>
        </r>
      </text>
    </comment>
    <comment ref="P99" authorId="1" shapeId="0">
      <text>
        <r>
          <rPr>
            <b/>
            <sz val="9"/>
            <color indexed="81"/>
            <rFont val="Tahoma"/>
            <family val="2"/>
          </rPr>
          <t>Gloria A. Sanchez M.:</t>
        </r>
        <r>
          <rPr>
            <sz val="9"/>
            <color indexed="81"/>
            <rFont val="Tahoma"/>
            <family val="2"/>
          </rPr>
          <t xml:space="preserve">
Para el mes de diciembre de 2022, no se han presentado accidentes de trabajo mortales. En lo corrido del año se han presentado 9 accidentes de trabajo leves y 1 AT grave en la seccional Pereira.
</t>
        </r>
      </text>
    </comment>
    <comment ref="E101" authorId="1" shapeId="0">
      <text>
        <r>
          <rPr>
            <b/>
            <sz val="9"/>
            <color indexed="81"/>
            <rFont val="Tahoma"/>
            <family val="2"/>
          </rPr>
          <t>Gloria A. Sanchez M.:</t>
        </r>
        <r>
          <rPr>
            <sz val="9"/>
            <color indexed="81"/>
            <rFont val="Tahoma"/>
            <family val="2"/>
          </rPr>
          <t xml:space="preserve">
De un promedio de 1081 trabajadores no se tienen casos nuevos de enfermedad laboral en el periodo 2022.</t>
        </r>
      </text>
    </comment>
    <comment ref="D106" authorId="0" shapeId="0">
      <text>
        <r>
          <rPr>
            <b/>
            <sz val="9"/>
            <color indexed="81"/>
            <rFont val="Tahoma"/>
            <family val="2"/>
          </rPr>
          <t>Gloria Amparo Sanchez:</t>
        </r>
        <r>
          <rPr>
            <sz val="9"/>
            <color indexed="81"/>
            <rFont val="Tahoma"/>
            <family val="2"/>
          </rPr>
          <t xml:space="preserve">
RANGO BUENO:  85% - 96,9%</t>
        </r>
      </text>
    </comment>
    <comment ref="E106" authorId="1" shapeId="0">
      <text>
        <r>
          <rPr>
            <b/>
            <sz val="9"/>
            <color indexed="81"/>
            <rFont val="Tahoma"/>
            <family val="2"/>
          </rPr>
          <t>Gloria A. Sanchez M.:</t>
        </r>
        <r>
          <rPr>
            <sz val="9"/>
            <color indexed="81"/>
            <rFont val="Tahoma"/>
            <family val="2"/>
          </rPr>
          <t xml:space="preserve">
ENERO:Se cumplió la meta del 100% se observa que las 87 solicitudes realizadas por los usuarios todas se tramitaron en el tiempo establecido, está medición se basa en los registros del Formato préstamo de equipos Audiovisuales, las reservas no atendidas en el tiempo es por que el usuario no se presenta.
La disminución en las reservas se debe al periodo de vacaciones, tanto de estudiantes como de administrativos.</t>
        </r>
      </text>
    </comment>
    <comment ref="F106" authorId="1" shapeId="0">
      <text>
        <r>
          <rPr>
            <b/>
            <sz val="9"/>
            <color indexed="81"/>
            <rFont val="Tahoma"/>
            <family val="2"/>
          </rPr>
          <t>Gloria A. Sanchez M.:</t>
        </r>
        <r>
          <rPr>
            <sz val="9"/>
            <color indexed="81"/>
            <rFont val="Tahoma"/>
            <family val="2"/>
          </rPr>
          <t xml:space="preserve">
FEBRERO: Se cumplió la meta del 99,68% se observa que las 317 solicitudes realizadas por los usuarios 316 se tramitaron en el tiempo establecido, donde la que no cumplió se debió a que el usuario no se presentó el día de la reserva. Está medición se basa en los registros del Formato préstamo de equipos Audiovisuales, las reservas no atendidas en el tiempo es por que el usuario no se presenta.
La disminución en las reservas se debe al periodo de vacaciones, tanto de estudiantes como de administrativos.</t>
        </r>
      </text>
    </comment>
    <comment ref="G106" authorId="1" shapeId="0">
      <text>
        <r>
          <rPr>
            <b/>
            <sz val="9"/>
            <color indexed="81"/>
            <rFont val="Tahoma"/>
            <family val="2"/>
          </rPr>
          <t>Gloria A. Sanchez M.:</t>
        </r>
        <r>
          <rPr>
            <sz val="9"/>
            <color indexed="81"/>
            <rFont val="Tahoma"/>
            <family val="2"/>
          </rPr>
          <t xml:space="preserve">
MARZO:Se cumplió la meta del 97% se observa que las 371 solicitudes realizadas por los usuarios 367 se tramitaron en el tiempo establecido, está medición se basa en los registros del Formato préstamo de equipos Audiovisuales, las reservas no atendidas en el tiempo es por que el usuario no se presenta.
La disminución en las reservas se debe al periodo de vacaciones, tanto de estudiantes como de administrativos.</t>
        </r>
      </text>
    </comment>
    <comment ref="H106" authorId="1" shapeId="0">
      <text>
        <r>
          <rPr>
            <b/>
            <sz val="9"/>
            <color indexed="81"/>
            <rFont val="Tahoma"/>
            <family val="2"/>
          </rPr>
          <t>Gloria A. Sanchez M.:</t>
        </r>
        <r>
          <rPr>
            <sz val="9"/>
            <color indexed="81"/>
            <rFont val="Tahoma"/>
            <family val="2"/>
          </rPr>
          <t xml:space="preserve">
ABRIL:Se cumplió la meta del 97% se observa que las 510 solicitudes realizadas por los usuarios 509 se tramitaron en el tiempo establecido, está medición se basa en los registros del Formato préstamo de equipos Audiovisuales y prestamo de elementos de audiovisuales, las reservas no atendidas en el tiempo es por que el usuario no se presenta.</t>
        </r>
      </text>
    </comment>
    <comment ref="I106" authorId="1" shapeId="0">
      <text>
        <r>
          <rPr>
            <b/>
            <sz val="9"/>
            <color indexed="81"/>
            <rFont val="Tahoma"/>
            <family val="2"/>
          </rPr>
          <t>Gloria A. Sanchez M.:</t>
        </r>
        <r>
          <rPr>
            <sz val="9"/>
            <color indexed="81"/>
            <rFont val="Tahoma"/>
            <family val="2"/>
          </rPr>
          <t xml:space="preserve">
MAYO:Se cumplió la meta del 97% se observa que las 260 solicitudes realizadas por los usuarios259 se tramitaron en el tiempo establecido, está medición se basa en los registros del Formato préstamo de equipos Audiovisuales y prestamo de elementos de audiovisuales, las reservas no atendidas en el tiempo es por que el usuario no se presenta.</t>
        </r>
      </text>
    </comment>
    <comment ref="J106" authorId="1" shapeId="0">
      <text>
        <r>
          <rPr>
            <b/>
            <sz val="9"/>
            <color indexed="81"/>
            <rFont val="Tahoma"/>
            <family val="2"/>
          </rPr>
          <t>Gloria A. Sanchez M.:</t>
        </r>
        <r>
          <rPr>
            <sz val="9"/>
            <color indexed="81"/>
            <rFont val="Tahoma"/>
            <family val="2"/>
          </rPr>
          <t xml:space="preserve">
JUNIO: Se superó la meta estándar nacional del 97%, obteniéndose en la seccional el resultado del 97,89%. Se observa que las 95 solicitudes realizadas por los usuarios 93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K106" authorId="1" shapeId="0">
      <text>
        <r>
          <rPr>
            <b/>
            <sz val="9"/>
            <color indexed="81"/>
            <rFont val="Tahoma"/>
            <family val="2"/>
          </rPr>
          <t>Gloria A. Sanchez M.:</t>
        </r>
        <r>
          <rPr>
            <sz val="9"/>
            <color indexed="81"/>
            <rFont val="Tahoma"/>
            <family val="2"/>
          </rPr>
          <t xml:space="preserve">
JULIO: Se superó la meta estándar nacional del 97%, obteniéndose en la seccional el resultado del 98,73%. Se observa que las 157 solicitudes realizadas por los usuarios155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L106" authorId="1" shapeId="0">
      <text>
        <r>
          <rPr>
            <b/>
            <sz val="9"/>
            <color indexed="81"/>
            <rFont val="Tahoma"/>
            <family val="2"/>
          </rPr>
          <t>Gloria A. Sanchez M.:</t>
        </r>
        <r>
          <rPr>
            <sz val="9"/>
            <color indexed="81"/>
            <rFont val="Tahoma"/>
            <family val="2"/>
          </rPr>
          <t xml:space="preserve">
AGOSTO: Se superó la meta estándar nacional del 97%, obteniéndose en la seccional el resultado del 98,80%. Se observa que las 415 solicitudes realizadas por los usuarios 410 se tramitaron en el tiempo establecido, la fuente de medición para este indicador son los registros del Formato préstamo de equipos Audiovisuales y préstamo de elementos de audiovisuales, las reservas no atendidas en el tiempo es porque el usuario no se presenta.
</t>
        </r>
      </text>
    </comment>
    <comment ref="M106" authorId="1" shapeId="0">
      <text>
        <r>
          <rPr>
            <b/>
            <sz val="9"/>
            <color indexed="81"/>
            <rFont val="Tahoma"/>
            <family val="2"/>
          </rPr>
          <t>Gloria A. Sanchez M.:</t>
        </r>
        <r>
          <rPr>
            <sz val="9"/>
            <color indexed="81"/>
            <rFont val="Tahoma"/>
            <family val="2"/>
          </rPr>
          <t xml:space="preserve">
SEPTIEMBRE: Se superó la meta estándar nacional del 97%, obteniéndose en la seccional el resultado del 98,59%. Se observa que las 426 solicitudes realizadas por los usuarios 420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N106" authorId="1" shapeId="0">
      <text>
        <r>
          <rPr>
            <b/>
            <sz val="9"/>
            <color indexed="81"/>
            <rFont val="Tahoma"/>
            <family val="2"/>
          </rPr>
          <t>Gloria A. Sanchez M.:</t>
        </r>
        <r>
          <rPr>
            <sz val="9"/>
            <color indexed="81"/>
            <rFont val="Tahoma"/>
            <family val="2"/>
          </rPr>
          <t xml:space="preserve">
OCTUBRE: Se superó la meta estándar nacional del 97%, obteniéndose en la seccional el resultado del 99,43%. Se observa que las 353 solicitudes realizadas por los usuarios 351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O106" authorId="1" shapeId="0">
      <text>
        <r>
          <rPr>
            <b/>
            <sz val="9"/>
            <color indexed="81"/>
            <rFont val="Tahoma"/>
            <family val="2"/>
          </rPr>
          <t>Gloria A. Sanchez M.:</t>
        </r>
        <r>
          <rPr>
            <sz val="9"/>
            <color indexed="81"/>
            <rFont val="Tahoma"/>
            <family val="2"/>
          </rPr>
          <t xml:space="preserve">
NOVIEMBRE: Se superó la meta estándar nacional del 97%, obteniéndose en la seccional el resultado del 97,76%. Se observa que las 223 solicitudes realizadas por los usuarios 218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P106" authorId="1" shapeId="0">
      <text>
        <r>
          <rPr>
            <b/>
            <sz val="9"/>
            <color indexed="81"/>
            <rFont val="Tahoma"/>
            <family val="2"/>
          </rPr>
          <t>Gloria A. Sanchez M.:</t>
        </r>
        <r>
          <rPr>
            <sz val="9"/>
            <color indexed="81"/>
            <rFont val="Tahoma"/>
            <family val="2"/>
          </rPr>
          <t xml:space="preserve">
DICIEMBRE: Se superó la meta estándar nacional del 97%, obteniéndose en la seccional el resultado del 97,22%. Se observa que las 36 solicitudes realizadas por los usuarios 35 se tramitaron en el tiempo establecido, la fuente de medición para este indicador son los registros del Formato préstamo de equipos Audiovisuales y préstamo de elementos de audiovisuales, las reservas no atendidas en el tiempo es porque el usuario no se presenta. Tener en cuenta que las solicitudes disminuyeron por que es época de Vacaciones</t>
        </r>
      </text>
    </comment>
    <comment ref="D108" authorId="0" shapeId="0">
      <text>
        <r>
          <rPr>
            <b/>
            <sz val="9"/>
            <color indexed="81"/>
            <rFont val="Tahoma"/>
            <family val="2"/>
          </rPr>
          <t>Gloria Amparo Sanchez:</t>
        </r>
        <r>
          <rPr>
            <sz val="9"/>
            <color indexed="81"/>
            <rFont val="Tahoma"/>
            <family val="2"/>
          </rPr>
          <t xml:space="preserve">
RANGO BUENO:  85% - 96,9%</t>
        </r>
      </text>
    </comment>
    <comment ref="E108" authorId="1" shapeId="0">
      <text>
        <r>
          <rPr>
            <b/>
            <sz val="9"/>
            <color indexed="81"/>
            <rFont val="Tahoma"/>
            <family val="2"/>
          </rPr>
          <t>Gloria A. Sanchez M.:</t>
        </r>
        <r>
          <rPr>
            <sz val="9"/>
            <color indexed="81"/>
            <rFont val="Tahoma"/>
            <family val="2"/>
          </rPr>
          <t xml:space="preserve">
ENERO:Se cumplió la meta del 97% se observa que de los 86 requerimientos enviados por los trabajadores a través del el software Helppeople, casos reportados y tambien con solicitudes enviadas al correo,86 se atendieron en el tiempo establecido, está medición se basa en informe del aplicativo Helppeople.Aclarando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F108" authorId="1" shapeId="0">
      <text>
        <r>
          <rPr>
            <b/>
            <sz val="9"/>
            <color indexed="81"/>
            <rFont val="Tahoma"/>
            <family val="2"/>
          </rPr>
          <t>Gloria A. Sanchez M.:</t>
        </r>
        <r>
          <rPr>
            <sz val="9"/>
            <color indexed="81"/>
            <rFont val="Tahoma"/>
            <family val="2"/>
          </rPr>
          <t xml:space="preserve">
FEBRERO:Se cumplió la meta del 97% se observa que de los 134 requerimientos enviados por los trabajadores a través del el software Helppeople, casos reportados y tambien con solicitudes enviadas al correo,134 se atendieron en el tiempo establecido, está medición se basa en informe del aplicativo Helppeople.Aclarando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G108" authorId="1" shapeId="0">
      <text>
        <r>
          <rPr>
            <b/>
            <sz val="9"/>
            <color indexed="81"/>
            <rFont val="Tahoma"/>
            <family val="2"/>
          </rPr>
          <t>Gloria A. Sanchez M.:</t>
        </r>
        <r>
          <rPr>
            <sz val="9"/>
            <color indexed="81"/>
            <rFont val="Tahoma"/>
            <family val="2"/>
          </rPr>
          <t xml:space="preserve">
MARZO:Se cumplió la meta del 97% se observa que de los 132 requerimientos enviados por los trabajadores a través del el software Helppeople, casos reportados y tambien con solicitudes enviadas al correo,131 se atendieron en el tiempo establecido, está medición se basa en informe del aplicativo Helppeople,la nueva mesa de ayuda,casos aplicativos.Aclarando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H108" authorId="1" shapeId="0">
      <text>
        <r>
          <rPr>
            <b/>
            <sz val="9"/>
            <color indexed="81"/>
            <rFont val="Tahoma"/>
            <family val="2"/>
          </rPr>
          <t>Gloria A. Sanchez M.:</t>
        </r>
        <r>
          <rPr>
            <sz val="9"/>
            <color indexed="81"/>
            <rFont val="Tahoma"/>
            <family val="2"/>
          </rPr>
          <t xml:space="preserve">
ABRIL:Se cumplió la meta del 97% se observa que de los 162 requerimientos enviados por los trabajadores a través del el software Mesa de Ayuda, casos reportados y tambien con solicitudes enviadas al correo,162 se atendieron en el tiempo establecido, está medición se basa en informe del aplicativo Mesa de ayuda,casos aplicativos, solicitudes enviadas al correo.Aclarando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I108" authorId="1" shapeId="0">
      <text>
        <r>
          <rPr>
            <b/>
            <sz val="9"/>
            <color indexed="81"/>
            <rFont val="Tahoma"/>
            <family val="2"/>
          </rPr>
          <t>Gloria A. Sanchez M.:</t>
        </r>
        <r>
          <rPr>
            <sz val="9"/>
            <color indexed="81"/>
            <rFont val="Tahoma"/>
            <family val="2"/>
          </rPr>
          <t xml:space="preserve">
MAYO:Se cumplió la meta del 97% se observa que de los 173 requerimientos enviados por los trabajadores a través del el software Mesa de Ayuda, casos reportados y tambien con solicitudes enviadas al correo,173 se atendieron en el tiempo establecido, está medición se basa en informe del aplicativo Mesa de ayuda,casos aplicativos, solicitudes enviadas al correo.Aclarando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J108" authorId="1" shapeId="0">
      <text>
        <r>
          <rPr>
            <b/>
            <sz val="9"/>
            <color indexed="81"/>
            <rFont val="Tahoma"/>
            <family val="2"/>
          </rPr>
          <t>Gloria A. Sanchez M.:</t>
        </r>
        <r>
          <rPr>
            <sz val="9"/>
            <color indexed="81"/>
            <rFont val="Tahoma"/>
            <family val="2"/>
          </rPr>
          <t xml:space="preserve">
JUNIO: Se superó la meta estándar nacional del 97% en la seccional se obtuvo el resultado del 99,15%. Se observa que de los 118 requerimientos enviados por los trabajadores a través del el software Mesa de Ayuda, casos reportados y también con solicitudes enviadas al correo,117 se atendieron en el tiempo establecido, está medición se basa en informe del aplicativo Mesa de ayuda, casos aplicativos, solicitudes enviadas al correo. Aclarando que ya se esta prestando servicio presencial . se ha tenido la asesoría y capacitación permanente del equipo de trabajo de sistemas , el soporte es constante tanto en solicitudes de correo por parte de estudiantes, como soporte a los usuarios del área financiera y de gestión humana.</t>
        </r>
      </text>
    </comment>
    <comment ref="K108" authorId="1" shapeId="0">
      <text>
        <r>
          <rPr>
            <b/>
            <sz val="9"/>
            <color indexed="81"/>
            <rFont val="Tahoma"/>
            <family val="2"/>
          </rPr>
          <t>Gloria A. Sanchez M.:</t>
        </r>
        <r>
          <rPr>
            <sz val="9"/>
            <color indexed="81"/>
            <rFont val="Tahoma"/>
            <family val="2"/>
          </rPr>
          <t xml:space="preserve">
JULIO: Se superó la meta estándar nacional del 97% en la seccional se obtuvo el resultado del 100%. Se observa que de los 130 requerimientos enviados por los trabajadores a través del el software Mesa de Ayuda, casos reportados y también con solicitudes enviadas al correo,130 se atendieron en el tiempo establecido, está medición se basa en informe del aplicativo Mesa de ayuda, casos aplicativos, solicitudes enviadas al correo. Aclarando que ya se esta prestando servicio presencial . se ha tenido la asesoría y capacitación permanente del equipo de trabajo de sistemas , el soporte es constante tanto en solicitudes de correo por parte de estudiantes, como soporte a los usuarios del área financiera y de gestión humana.
</t>
        </r>
      </text>
    </comment>
    <comment ref="L108" authorId="1" shapeId="0">
      <text>
        <r>
          <rPr>
            <b/>
            <sz val="9"/>
            <color indexed="81"/>
            <rFont val="Tahoma"/>
            <family val="2"/>
          </rPr>
          <t>Gloria A. Sanchez M.:</t>
        </r>
        <r>
          <rPr>
            <sz val="9"/>
            <color indexed="81"/>
            <rFont val="Tahoma"/>
            <family val="2"/>
          </rPr>
          <t xml:space="preserve">
AGOSTO: Se superó la meta estándar nacional del 97% en la seccional se obtuvo el resultado del 99,46%. Se observa que de los 184 requerimientos enviados por los trabajadores a través del el software Mesa de Ayuda, casos reportados y también con solicitudes enviadas al correo,183 se atendieron en el tiempo establecido, está medición se basa en informe del aplicativo Mesa de ayuda, casos aplicativos, solicitudes enviadas al correo. Aclarando que ya se esta prestando servicio presencial . se ha tenido la asesoría y capacitación permanente del equipo de trabajo de sistemas , el soporte es constante tanto en solicitudes de correo por parte de estudiantes, como soporte a los usuarios del área financiera y de gestión humana.</t>
        </r>
      </text>
    </comment>
    <comment ref="M108" authorId="1" shapeId="0">
      <text>
        <r>
          <rPr>
            <b/>
            <sz val="9"/>
            <color indexed="81"/>
            <rFont val="Tahoma"/>
            <family val="2"/>
          </rPr>
          <t>Gloria A. Sanchez M.:</t>
        </r>
        <r>
          <rPr>
            <sz val="9"/>
            <color indexed="81"/>
            <rFont val="Tahoma"/>
            <family val="2"/>
          </rPr>
          <t xml:space="preserve">
SEPTIEMBRE: se observa que de los 170 requerimientos enviados por los trabajadores a través del el software Mesa de Ayuda, casos reportados y también con solicitudes enviadas al correo,166 se atendieron en el tiempo establecido, está medición se basa en informe del aplicativo Mesa de ayuda, casos aplicativos, solicitudes enviadas al correo. Aclarando que ya se esta prestando servicio presencial . se ha tenido la asesoría y capacitación permanente del equipo de trabajo de sistemas , el soporte es constante tanto en solicitudes de correo por parte de estudiantes, como soporte a los usuarios del área financiera y de gestión humana.</t>
        </r>
      </text>
    </comment>
    <comment ref="N108" authorId="1" shapeId="0">
      <text>
        <r>
          <rPr>
            <b/>
            <sz val="9"/>
            <color indexed="81"/>
            <rFont val="Tahoma"/>
            <family val="2"/>
          </rPr>
          <t>Gloria A. Sanchez M.:</t>
        </r>
        <r>
          <rPr>
            <sz val="9"/>
            <color indexed="81"/>
            <rFont val="Tahoma"/>
            <family val="2"/>
          </rPr>
          <t xml:space="preserve">
OCTUBRE: se observa que de los 128 requerimientos enviados por los trabajadores a través del el software Mesa de Ayuda, casos reportados y también con solicitudes enviadas al correo,125 se atendieron en el tiempo establecido, está medición se basa en informe del aplicativo Mesa de ayuda, casos aplicativos, solicitudes enviadas al correo. se ha tenido la asesoría y capacitación permanente del equipo de trabajo de sistemas , el soporte es constante tanto en solicitudes de correo por parte de estudiantes, como soporte a los usuarios del área financiera y de gestión humana.
</t>
        </r>
      </text>
    </comment>
    <comment ref="O108" authorId="1" shapeId="0">
      <text>
        <r>
          <rPr>
            <b/>
            <sz val="9"/>
            <color indexed="81"/>
            <rFont val="Tahoma"/>
            <family val="2"/>
          </rPr>
          <t>Gloria A. Sanchez M.:</t>
        </r>
        <r>
          <rPr>
            <sz val="9"/>
            <color indexed="81"/>
            <rFont val="Tahoma"/>
            <family val="2"/>
          </rPr>
          <t xml:space="preserve">
NOVIEMBRE: se observa que de los 123 requerimientos enviados por los trabajadores a través del el software Mesa de Ayuda, casos reportados y también con solicitudes enviadas al correo,122 se atendieron en el tiempo establecido, está medición se basa en informe del aplicativo Mesa de ayuda, casos aplicativos, solicitudes enviadas al correo. se ha tenido la asesoría y capacitación permanente del equipo de trabajo de sistemas , el soporte es constante tanto en solicitudes de correo por parte de estudiantes, como soporte a los usuarios del área financiera y de gestión humana.
</t>
        </r>
      </text>
    </comment>
    <comment ref="P108" authorId="1" shapeId="0">
      <text>
        <r>
          <rPr>
            <b/>
            <sz val="9"/>
            <color indexed="81"/>
            <rFont val="Tahoma"/>
            <family val="2"/>
          </rPr>
          <t>Gloria A. Sanchez M.:</t>
        </r>
        <r>
          <rPr>
            <sz val="9"/>
            <color indexed="81"/>
            <rFont val="Tahoma"/>
            <family val="2"/>
          </rPr>
          <t xml:space="preserve">
DICIEMBRE: se observa que de los 54 requerimientos enviados por los trabajadores a través del el software Mesa de Ayuda, casos reportados y también con solicitudes enviadas al correo,53 se atendieron en el tiempo establecido, está medición se basa en informe del aplicativo Mesa de ayuda, casos aplicativos, solicitudes enviadas al correo. se ha tenido la asesoría y capacitación permanente del equipo de trabajo de sistemas , el soporte es constante tanto en solicitudes de correo por parte de estudiantes, como soporte a los usuarios del área financiera y de gestión humana. En el mes de diciembre se laboró hasta el día 16 por esto la disminucion de solicitudes</t>
        </r>
      </text>
    </comment>
    <comment ref="D110" authorId="0" shapeId="0">
      <text>
        <r>
          <rPr>
            <b/>
            <sz val="9"/>
            <color indexed="81"/>
            <rFont val="Tahoma"/>
            <family val="2"/>
          </rPr>
          <t>Gloria Amparo Sanchez:</t>
        </r>
        <r>
          <rPr>
            <sz val="9"/>
            <color indexed="81"/>
            <rFont val="Tahoma"/>
            <family val="2"/>
          </rPr>
          <t xml:space="preserve">
RANGO BUENO:  85% - 96,9%</t>
        </r>
      </text>
    </comment>
    <comment ref="E110" authorId="1" shapeId="0">
      <text>
        <r>
          <rPr>
            <b/>
            <sz val="9"/>
            <color indexed="81"/>
            <rFont val="Tahoma"/>
            <family val="2"/>
          </rPr>
          <t>Gloria A. Sanchez M.:</t>
        </r>
        <r>
          <rPr>
            <sz val="9"/>
            <color indexed="81"/>
            <rFont val="Tahoma"/>
            <family val="2"/>
          </rPr>
          <t xml:space="preserve">
ENERO: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 Es de aclarar que los 22 equipos portátiles que se tenían prestados a los estudiantes fueron devueltos y se dan de baja por obsolecencia tecnológica</t>
        </r>
      </text>
    </comment>
    <comment ref="F110" authorId="1" shapeId="0">
      <text>
        <r>
          <rPr>
            <b/>
            <sz val="9"/>
            <color indexed="81"/>
            <rFont val="Tahoma"/>
            <family val="2"/>
          </rPr>
          <t>Gloria A. Sanchez M.:</t>
        </r>
        <r>
          <rPr>
            <sz val="9"/>
            <color indexed="81"/>
            <rFont val="Tahoma"/>
            <family val="2"/>
          </rPr>
          <t xml:space="preserve">
FEBRERO: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t>
        </r>
      </text>
    </comment>
    <comment ref="G110" authorId="1" shapeId="0">
      <text>
        <r>
          <rPr>
            <b/>
            <sz val="9"/>
            <color indexed="81"/>
            <rFont val="Tahoma"/>
            <family val="2"/>
          </rPr>
          <t>Gloria A. Sanchez M.:</t>
        </r>
        <r>
          <rPr>
            <sz val="9"/>
            <color indexed="81"/>
            <rFont val="Tahoma"/>
            <family val="2"/>
          </rPr>
          <t xml:space="preserve">
MARZO: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t>
        </r>
      </text>
    </comment>
    <comment ref="H110" authorId="1" shapeId="0">
      <text>
        <r>
          <rPr>
            <b/>
            <sz val="9"/>
            <color indexed="81"/>
            <rFont val="Tahoma"/>
            <family val="2"/>
          </rPr>
          <t>Gloria A. Sanchez M.:</t>
        </r>
        <r>
          <rPr>
            <sz val="9"/>
            <color indexed="81"/>
            <rFont val="Tahoma"/>
            <family val="2"/>
          </rPr>
          <t xml:space="preserve">
ABRIL: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t>
        </r>
      </text>
    </comment>
    <comment ref="I110" authorId="1" shapeId="0">
      <text>
        <r>
          <rPr>
            <b/>
            <sz val="9"/>
            <color indexed="81"/>
            <rFont val="Tahoma"/>
            <family val="2"/>
          </rPr>
          <t>Gloria A. Sanchez M.:</t>
        </r>
        <r>
          <rPr>
            <sz val="9"/>
            <color indexed="81"/>
            <rFont val="Tahoma"/>
            <family val="2"/>
          </rPr>
          <t xml:space="preserve">
MAYO: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t>
        </r>
      </text>
    </comment>
    <comment ref="J110" authorId="1" shapeId="0">
      <text>
        <r>
          <rPr>
            <b/>
            <sz val="9"/>
            <color indexed="81"/>
            <rFont val="Tahoma"/>
            <family val="2"/>
          </rPr>
          <t>Gloria A. Sanchez M.:</t>
        </r>
        <r>
          <rPr>
            <sz val="9"/>
            <color indexed="81"/>
            <rFont val="Tahoma"/>
            <family val="2"/>
          </rPr>
          <t xml:space="preserve">
JUNIO: Se superó la meta nacional del 100% , obteniéndose en la seccional un resultado del 100%. Los 461 equipos de cómputo y portátiles que se tienen al servicio de estudiantes y docentes a todos se les realizó la verificación de que estén funcionando correctamente , y se encuentren en buen estado,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K110" authorId="1" shapeId="0">
      <text>
        <r>
          <rPr>
            <b/>
            <sz val="9"/>
            <color indexed="81"/>
            <rFont val="Tahoma"/>
            <family val="2"/>
          </rPr>
          <t>Gloria A. Sanchez M.:</t>
        </r>
        <r>
          <rPr>
            <sz val="9"/>
            <color indexed="81"/>
            <rFont val="Tahoma"/>
            <family val="2"/>
          </rPr>
          <t xml:space="preserve">
JULIO: Se superó la meta nacional del 97% , obteniéndose en la seccional un resultado del 98,70%. Los 461 equipos de cómputo y portátiles que se tienen al servicio de estudiantes y docentes a todos se les realizó la verificación de que estén funcionando correctamente , y se encuentren en buen estado, De estos equipos 6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r>
      </text>
    </comment>
    <comment ref="L110" authorId="1" shapeId="0">
      <text>
        <r>
          <rPr>
            <b/>
            <sz val="9"/>
            <color indexed="81"/>
            <rFont val="Tahoma"/>
            <family val="2"/>
          </rPr>
          <t>Gloria A. Sanchez M.:</t>
        </r>
        <r>
          <rPr>
            <sz val="9"/>
            <color indexed="81"/>
            <rFont val="Tahoma"/>
            <family val="2"/>
          </rPr>
          <t xml:space="preserve">
AGOSTO: Se superó la meta nacional del 97% , obteniéndose en la seccional un resultado del 98,92%. Los 461 equipos de cómputo y portátiles que se tienen al servicio de estudiantes y docentes a todos se les realizó la verificación de que estén funcionando correctamente , y se encuentren en buen estado, De estos equipos 5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M110" authorId="1" shapeId="0">
      <text>
        <r>
          <rPr>
            <b/>
            <sz val="9"/>
            <color indexed="81"/>
            <rFont val="Tahoma"/>
            <family val="2"/>
          </rPr>
          <t>Gloria A. Sanchez M.:</t>
        </r>
        <r>
          <rPr>
            <sz val="9"/>
            <color indexed="81"/>
            <rFont val="Tahoma"/>
            <family val="2"/>
          </rPr>
          <t xml:space="preserve">
SEPTIEMBRE: Se superó la meta nacional del 97% , obteniéndose en la seccional un resultado del 98,70%. Los 461 equipos de cómputo y portátiles que se tienen al servicio de estudiantes y docentes a todos se les realizó la verificación de que estén funcionando correctamente , y se encuentren en buen estado, De estos equipos 6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N110" authorId="1" shapeId="0">
      <text>
        <r>
          <rPr>
            <b/>
            <sz val="9"/>
            <color indexed="81"/>
            <rFont val="Tahoma"/>
            <family val="2"/>
          </rPr>
          <t>Gloria A. Sanchez M.:</t>
        </r>
        <r>
          <rPr>
            <sz val="9"/>
            <color indexed="81"/>
            <rFont val="Tahoma"/>
            <family val="2"/>
          </rPr>
          <t xml:space="preserve">
OCTUBRE: Se superó la meta nacional del 97% , obteniéndose en la seccional un resultado del 98,48%. Los 461 equipos de cómputo y portátiles que se tienen al servicio de estudiantes y docentes a todos se les realizó la verificación de que estén funcionando correctamente , y se encuentren en buen estado, De estos equipos 7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O110" authorId="1" shapeId="0">
      <text>
        <r>
          <rPr>
            <b/>
            <sz val="9"/>
            <color indexed="81"/>
            <rFont val="Tahoma"/>
            <family val="2"/>
          </rPr>
          <t>Gloria A. Sanchez M.:</t>
        </r>
        <r>
          <rPr>
            <sz val="9"/>
            <color indexed="81"/>
            <rFont val="Tahoma"/>
            <family val="2"/>
          </rPr>
          <t xml:space="preserve">
NOVIEMBRE: Se superó la meta nacional del 97% , obteniéndose en la seccional un resultado del 98,92%. Los 461 equipos de cómputo y portátiles que se tienen al servicio de estudiantes y docentes a todos se les realizó la verificación de que estén funcionando correctamente , y se encuentren en buen estado, De estos equipos5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r>
      </text>
    </comment>
    <comment ref="P110" authorId="1" shapeId="0">
      <text>
        <r>
          <rPr>
            <b/>
            <sz val="9"/>
            <color indexed="81"/>
            <rFont val="Tahoma"/>
            <family val="2"/>
          </rPr>
          <t>Gloria A. Sanchez M.:</t>
        </r>
        <r>
          <rPr>
            <sz val="9"/>
            <color indexed="81"/>
            <rFont val="Tahoma"/>
            <family val="2"/>
          </rPr>
          <t xml:space="preserve">
DICIEMBRE: Se superó la meta nacional del 97% , obteniéndose en la seccional un resultado del 98,48%. Los 461 equipos de cómputo y portátiles que se tienen al servicio de estudiantes y docentes a todos se les realizó la verificación de que estén funcionando correctamente , y se encuentren en buen estado, De estos equipos 7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D112" authorId="0" shapeId="0">
      <text>
        <r>
          <rPr>
            <b/>
            <sz val="9"/>
            <color indexed="81"/>
            <rFont val="Tahoma"/>
            <family val="2"/>
          </rPr>
          <t>Gloria Amparo Sanchez:</t>
        </r>
        <r>
          <rPr>
            <sz val="9"/>
            <color indexed="81"/>
            <rFont val="Tahoma"/>
            <family val="2"/>
          </rPr>
          <t xml:space="preserve">
RANGO BUENO:  85% - 96,9%</t>
        </r>
      </text>
    </comment>
    <comment ref="E112" authorId="1" shapeId="0">
      <text>
        <r>
          <rPr>
            <b/>
            <sz val="9"/>
            <color indexed="81"/>
            <rFont val="Tahoma"/>
            <family val="2"/>
          </rPr>
          <t>Gloria A. Sanchez M.:</t>
        </r>
        <r>
          <rPr>
            <sz val="9"/>
            <color indexed="81"/>
            <rFont val="Tahoma"/>
            <family val="2"/>
          </rPr>
          <t xml:space="preserve">
ENERO: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
los equipos que se tenían prestados a estudiantes 22 portátiles , se devolvieron pero ya están para bajas por la obsolescencia tecnológica</t>
        </r>
      </text>
    </comment>
    <comment ref="F112" authorId="1" shapeId="0">
      <text>
        <r>
          <rPr>
            <b/>
            <sz val="9"/>
            <color indexed="81"/>
            <rFont val="Tahoma"/>
            <family val="2"/>
          </rPr>
          <t>Gloria A. Sanchez M.:</t>
        </r>
        <r>
          <rPr>
            <sz val="9"/>
            <color indexed="81"/>
            <rFont val="Tahoma"/>
            <family val="2"/>
          </rPr>
          <t xml:space="preserve">
FEBRERO: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
</t>
        </r>
      </text>
    </comment>
    <comment ref="G112" authorId="1" shapeId="0">
      <text>
        <r>
          <rPr>
            <b/>
            <sz val="9"/>
            <color indexed="81"/>
            <rFont val="Tahoma"/>
            <family val="2"/>
          </rPr>
          <t>Gloria A. Sanchez M.:</t>
        </r>
        <r>
          <rPr>
            <sz val="9"/>
            <color indexed="81"/>
            <rFont val="Tahoma"/>
            <family val="2"/>
          </rPr>
          <t xml:space="preserve">
MARZO: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t>
        </r>
      </text>
    </comment>
    <comment ref="H112" authorId="1" shapeId="0">
      <text>
        <r>
          <rPr>
            <b/>
            <sz val="9"/>
            <color indexed="81"/>
            <rFont val="Tahoma"/>
            <family val="2"/>
          </rPr>
          <t>Gloria A. Sanchez M.:</t>
        </r>
        <r>
          <rPr>
            <sz val="9"/>
            <color indexed="81"/>
            <rFont val="Tahoma"/>
            <family val="2"/>
          </rPr>
          <t xml:space="preserve">
ABRIL: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t>
        </r>
      </text>
    </comment>
    <comment ref="I112" authorId="1" shapeId="0">
      <text>
        <r>
          <rPr>
            <b/>
            <sz val="9"/>
            <color indexed="81"/>
            <rFont val="Tahoma"/>
            <family val="2"/>
          </rPr>
          <t>Gloria A. Sanchez M.:</t>
        </r>
        <r>
          <rPr>
            <sz val="9"/>
            <color indexed="81"/>
            <rFont val="Tahoma"/>
            <family val="2"/>
          </rPr>
          <t xml:space="preserve">
MAYO: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t>
        </r>
      </text>
    </comment>
    <comment ref="J112" authorId="1" shapeId="0">
      <text>
        <r>
          <rPr>
            <b/>
            <sz val="9"/>
            <color indexed="81"/>
            <rFont val="Tahoma"/>
            <family val="2"/>
          </rPr>
          <t>Gloria A. Sanchez M.:</t>
        </r>
        <r>
          <rPr>
            <sz val="9"/>
            <color indexed="81"/>
            <rFont val="Tahoma"/>
            <family val="2"/>
          </rPr>
          <t xml:space="preserve">
JUNIO: Se superó la meta estándar nacional del 100%. Los 461 equipos de cómputo y portátiles que se tienen al servicio de estudiantes y docentes a todos se les realizó la verificación de que estén funcionando correctamente , y se encuentren en buen estado,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K112" authorId="1" shapeId="0">
      <text>
        <r>
          <rPr>
            <b/>
            <sz val="9"/>
            <color indexed="81"/>
            <rFont val="Tahoma"/>
            <family val="2"/>
          </rPr>
          <t>Gloria A. Sanchez M.:</t>
        </r>
        <r>
          <rPr>
            <sz val="9"/>
            <color indexed="81"/>
            <rFont val="Tahoma"/>
            <family val="2"/>
          </rPr>
          <t xml:space="preserve">
JULIO: Se superó la meta estándar nacional del 97%. Los 461 equipos de cómputo y portátiles que se tienen al servicio de estudiantes y docentes a todos se les realizó la verificación de que estén funcionando correctamente , y se encuentren en buen estado, Con 6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L112" authorId="1" shapeId="0">
      <text>
        <r>
          <rPr>
            <b/>
            <sz val="9"/>
            <color indexed="81"/>
            <rFont val="Tahoma"/>
            <family val="2"/>
          </rPr>
          <t>Gloria A. Sanchez M.:</t>
        </r>
        <r>
          <rPr>
            <sz val="9"/>
            <color indexed="81"/>
            <rFont val="Tahoma"/>
            <family val="2"/>
          </rPr>
          <t xml:space="preserve">
AGOSTO: Se superó la meta estándar nacional del 97%. Los 461 equipos de cómputo y portátiles que se tienen al servicio de estudiantes y docentes a todos se les realizó la verificación de que estén funcionando correctamente , y se encuentren en buen estado, Con 5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r>
      </text>
    </comment>
    <comment ref="M112" authorId="1" shapeId="0">
      <text>
        <r>
          <rPr>
            <b/>
            <sz val="9"/>
            <color indexed="81"/>
            <rFont val="Tahoma"/>
            <family val="2"/>
          </rPr>
          <t>Gloria A. Sanchez M.:</t>
        </r>
        <r>
          <rPr>
            <sz val="9"/>
            <color indexed="81"/>
            <rFont val="Tahoma"/>
            <family val="2"/>
          </rPr>
          <t xml:space="preserve">
SEPTIEMBRE: Se superó la meta estándar nacional del 97%. Los 461 equipos de cómputo y portátiles que se tienen al servicio de estudiantes y docentes a todos se les realizó la verificación de que estén funcionando correctamente , y se encuentren en buen estado, Con 7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N112" authorId="1" shapeId="0">
      <text>
        <r>
          <rPr>
            <b/>
            <sz val="9"/>
            <color indexed="81"/>
            <rFont val="Tahoma"/>
            <family val="2"/>
          </rPr>
          <t>Gloria A. Sanchez M.:</t>
        </r>
        <r>
          <rPr>
            <sz val="9"/>
            <color indexed="81"/>
            <rFont val="Tahoma"/>
            <family val="2"/>
          </rPr>
          <t xml:space="preserve">
OCTUBRE: Se superó la meta estándar nacional del 97%. Los 461 equipos de cómputo y portátiles que se tienen al servicio de estudiantes y docentes a todos se les realizó la verificación de que estén funcionando correctamente , y se encuentren en buen estado, Con 9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O112" authorId="1" shapeId="0">
      <text>
        <r>
          <rPr>
            <b/>
            <sz val="9"/>
            <color indexed="81"/>
            <rFont val="Tahoma"/>
            <family val="2"/>
          </rPr>
          <t>Gloria A. Sanchez M.:</t>
        </r>
        <r>
          <rPr>
            <sz val="9"/>
            <color indexed="81"/>
            <rFont val="Tahoma"/>
            <family val="2"/>
          </rPr>
          <t xml:space="preserve">
NOVIEMBRE: Se superó la meta estándar nacional del 97%. Los 461 equipos de cómputo y portátiles que se tienen al servicio de estudiantes y docentes a todos se les realizó la verificación de que estén funcionando correctamente , y se encuentren en buen estado, Con 9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P112" authorId="1" shapeId="0">
      <text>
        <r>
          <rPr>
            <b/>
            <sz val="9"/>
            <color indexed="81"/>
            <rFont val="Tahoma"/>
            <family val="2"/>
          </rPr>
          <t>Gloria A. Sanchez M.:</t>
        </r>
        <r>
          <rPr>
            <sz val="9"/>
            <color indexed="81"/>
            <rFont val="Tahoma"/>
            <family val="2"/>
          </rPr>
          <t xml:space="preserve">
DICIEMBRE: Se superó la meta estándar nacional del 97%. Los 461 equipos de cómputo y portátiles que se tienen al servicio de estudiantes y docentes a todos se les realizó la verificación de que estén funcionando correctamente , y se encuentren en buen estado, Con 5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E118" authorId="1" shapeId="0">
      <text>
        <r>
          <rPr>
            <b/>
            <sz val="9"/>
            <color indexed="81"/>
            <rFont val="Tahoma"/>
            <family val="2"/>
          </rPr>
          <t>Gloria A. Sanchez M.:</t>
        </r>
        <r>
          <rPr>
            <sz val="9"/>
            <color indexed="81"/>
            <rFont val="Tahoma"/>
            <family val="2"/>
          </rPr>
          <t xml:space="preserve">
SEM 1. No se cumple con la meta nacional del 100%, en la seccional, si se cumple con el rango bueno.  Se obtuvo un resultado del 96,84%. De 316 solicitudes se atendieron oportunamente 306. Los 10 restantes obedecen a solicitudes que requerían la compra de insumos o elementos para atender y no se cumplió los tiempos establecidos. Otras de las actividades se desarrollaron posterior por condiciones como el clima, o depender de terceros para ejecutar la tarea. Estas labores que exigen más tiempo del establecido en los acuerdos de servicios. Como oportunidad de mejora se hará solicitud de cambio del acuerdo de servicio, ya que es imposible llegar al 100% en temas de mantenimiento</t>
        </r>
      </text>
    </comment>
    <comment ref="K118" authorId="1" shapeId="0">
      <text>
        <r>
          <rPr>
            <b/>
            <sz val="9"/>
            <color indexed="81"/>
            <rFont val="Tahoma"/>
            <family val="2"/>
          </rPr>
          <t>Gloria A. Sanchez M.:</t>
        </r>
        <r>
          <rPr>
            <sz val="9"/>
            <color indexed="81"/>
            <rFont val="Tahoma"/>
            <family val="2"/>
          </rPr>
          <t xml:space="preserve">
SEM 2. Se obtuvo un resultado del 98,7%. De 305 solicitudes se atendieron oportunamente 301. Los 4restantes obedecen a solicitudes que requerían la compra de insumos o elementos para atender y no se cumplió los tiempos establecidos. Otras de las actividades se desarrollaron posterior por condiciones como el clima, o depender de terceros para ejecutar la tarea. Estas labores que exigen más tiempo del establecido en los acuerdos de servicios. Como oportunidad de mejora se hará solicitud de cambio del acuerdo de servicio, ya que es imposible llegar al 100% en temas de mantenimiento</t>
        </r>
      </text>
    </comment>
    <comment ref="E119" authorId="1" shapeId="0">
      <text>
        <r>
          <rPr>
            <b/>
            <sz val="9"/>
            <color indexed="81"/>
            <rFont val="Tahoma"/>
            <family val="2"/>
          </rPr>
          <t>Gloria A. Sanchez M.:</t>
        </r>
        <r>
          <rPr>
            <sz val="9"/>
            <color indexed="81"/>
            <rFont val="Tahoma"/>
            <family val="2"/>
          </rPr>
          <t xml:space="preserve">
AÑO 2022: No se cumple la meta del 90%, se cumple con el rango bueno, obteniéndose un resultado en la seccional del 82,35%. De las 17 actividades planeadas, no se ejecutaron 3 por temas de ejecución de recursos (austeridad en el gasto). Entre los que tenemos: la actualización del POC de la seccional, reposición de aires acondicionados en salones sede centro. Entre las actividades se tenía mantenimiento de vehículos los cuales no se realizó se hicieron las requisiciones pera la Universidad no los contrato. Como oportunidad de mejora dos actividades se reprogramaron para la vigencia 2023.</t>
        </r>
      </text>
    </comment>
    <comment ref="E120" authorId="1" shapeId="0">
      <text>
        <r>
          <rPr>
            <b/>
            <sz val="9"/>
            <color indexed="81"/>
            <rFont val="Tahoma"/>
            <family val="2"/>
          </rPr>
          <t>Gloria A. Sanchez M.:</t>
        </r>
        <r>
          <rPr>
            <sz val="9"/>
            <color indexed="81"/>
            <rFont val="Tahoma"/>
            <family val="2"/>
          </rPr>
          <t xml:space="preserve">
SEM 1. se cumple la meta, de los 310 servicios, todos fueron calificados entre 4 y 5 bueno - excelente.</t>
        </r>
      </text>
    </comment>
    <comment ref="K120" authorId="1" shapeId="0">
      <text>
        <r>
          <rPr>
            <b/>
            <sz val="9"/>
            <color indexed="81"/>
            <rFont val="Tahoma"/>
            <family val="2"/>
          </rPr>
          <t>Gloria A. Sanchez M.:</t>
        </r>
        <r>
          <rPr>
            <sz val="9"/>
            <color indexed="81"/>
            <rFont val="Tahoma"/>
            <family val="2"/>
          </rPr>
          <t xml:space="preserve">
SEM 2. Se cumplió la meta nacional del 90%, obteníéndose en la seccional el 100% de satisfacción, de los 305 servicios, todos fueron calificados entre 4 y 5 bueno - excelente.</t>
        </r>
      </text>
    </comment>
    <comment ref="D130" authorId="0" shapeId="0">
      <text>
        <r>
          <rPr>
            <b/>
            <sz val="9"/>
            <color indexed="81"/>
            <rFont val="Tahoma"/>
            <family val="2"/>
          </rPr>
          <t>Gloria Amparo Sanchez:</t>
        </r>
        <r>
          <rPr>
            <sz val="9"/>
            <color indexed="81"/>
            <rFont val="Tahoma"/>
            <family val="2"/>
          </rPr>
          <t xml:space="preserve">
RANGO BUENO: 50%-70%</t>
        </r>
      </text>
    </comment>
    <comment ref="E130" authorId="1" shapeId="0">
      <text>
        <r>
          <rPr>
            <b/>
            <sz val="9"/>
            <color indexed="81"/>
            <rFont val="Tahoma"/>
            <family val="2"/>
          </rPr>
          <t>Gloria A. Sanchez M.:</t>
        </r>
        <r>
          <rPr>
            <sz val="9"/>
            <color indexed="81"/>
            <rFont val="Tahoma"/>
            <family val="2"/>
          </rPr>
          <t xml:space="preserve">
Durante el segundo semestre del 2022, se cumplió con la meta estándar nacional del 70%, obteniéndose un resultado seccional del 96% de cumplimiento, de un total de 27 oficinas programadas para transferencia documental en el año 2022, se ejecutó el proceso en 26 oficinas. La única oficina que no fue posible el proceso, fue por motivos de una licencia del funcionario, puesto que no se encontraba sino hasta finales del mes de diciembre.
Por otro lado, es importante resaltar, que adicional a las oficinas programadas para las transferencias documentales se recibió documentación de 5 oficinas más, que no se encontraban dentro de la programación inicialmente propuesta. Que por solicitud de las mismas oficinas y disposición para la entrega de la documentación cumpliendo con los términos indicados en los procedimientos de organización de archivos de gestión y de transferencias documentales, solicitaron dicho proceso para evitar acumulación de documentación en las oficinas. Como resultado final, 31 oficinas realizaron el proceso de transferencias documentales en la seccional durante el año 2022, alcanzando de esta manera el 114,8% de cumplimiento.
Para todas las oficinas, se realizó el seguimiento previo a la ejecución de las transferencias documentales y se registró en el informe de novedades y/u observaciones por cada transferencia, los términos que deben mejorar y los ajustes que se deben llevar a cabo para cumplir para las próximas transferencias.
El volumen total del proceso de transferencias fueron los siguientes: 557 cajas de archivo inactivo entre cajas referencia x100 y x300; 3.037 unidades de conservación entre carpetas y tomos. Para un total de 422.719 folios transferidos.
</t>
        </r>
      </text>
    </comment>
    <comment ref="D131" authorId="0" shapeId="0">
      <text>
        <r>
          <rPr>
            <b/>
            <sz val="9"/>
            <color indexed="81"/>
            <rFont val="Tahoma"/>
            <family val="2"/>
          </rPr>
          <t>Gloria Amparo Sanchez:</t>
        </r>
        <r>
          <rPr>
            <sz val="9"/>
            <color indexed="81"/>
            <rFont val="Tahoma"/>
            <family val="2"/>
          </rPr>
          <t xml:space="preserve">
RANGO BUENO: 60%-80%</t>
        </r>
      </text>
    </comment>
    <comment ref="E131" authorId="1" shapeId="0">
      <text>
        <r>
          <rPr>
            <b/>
            <sz val="9"/>
            <color indexed="81"/>
            <rFont val="Tahoma"/>
            <family val="2"/>
          </rPr>
          <t>Gloria A. Sanchez M.:</t>
        </r>
        <r>
          <rPr>
            <sz val="9"/>
            <color indexed="81"/>
            <rFont val="Tahoma"/>
            <family val="2"/>
          </rPr>
          <t xml:space="preserve">
ENERO: Se superó la meta nacional del 80%, se recibió y gestionó 4 expedientes para consulta y préstamo de las oficinas de Administración de Personal y Registro y Control. Las cuales fueron atendidas dentro del tiempo establecido en el acuerdo de servicio.</t>
        </r>
      </text>
    </comment>
    <comment ref="F131" authorId="1" shapeId="0">
      <text>
        <r>
          <rPr>
            <b/>
            <sz val="9"/>
            <color indexed="81"/>
            <rFont val="Tahoma"/>
            <family val="2"/>
          </rPr>
          <t>Gloria A. Sanchez M.:</t>
        </r>
        <r>
          <rPr>
            <sz val="9"/>
            <color indexed="81"/>
            <rFont val="Tahoma"/>
            <family val="2"/>
          </rPr>
          <t xml:space="preserve">
FEBRERO: Se superó la meta nacional del 80%, se recibió y gestionó 5 expedientes para consulta y préstamo de las oficinas de Administración de Personal y Registro y Control. Las cuales fueron atendidas dentro del tiempo establecido en el acuerdo de servicio.
</t>
        </r>
      </text>
    </comment>
    <comment ref="G131" authorId="1" shapeId="0">
      <text>
        <r>
          <rPr>
            <b/>
            <sz val="9"/>
            <color indexed="81"/>
            <rFont val="Tahoma"/>
            <family val="2"/>
          </rPr>
          <t>Gloria A. Sanchez M.:</t>
        </r>
        <r>
          <rPr>
            <sz val="9"/>
            <color indexed="81"/>
            <rFont val="Tahoma"/>
            <family val="2"/>
          </rPr>
          <t xml:space="preserve">
MARZO: Se superó la meta nacional del 80%, se recibió y gestionó 19 expedientes para consulta y préstamo de las oficinas de Administración de Personal, Registro y Control, CEIDEUL y Secretaria Académica Decanatura de Derecho. Las cuales fueron atendidas dentro del tiempo establecido en el acuerdo de servicio.</t>
        </r>
      </text>
    </comment>
    <comment ref="H131" authorId="1" shapeId="0">
      <text>
        <r>
          <rPr>
            <b/>
            <sz val="9"/>
            <color indexed="81"/>
            <rFont val="Tahoma"/>
            <family val="2"/>
          </rPr>
          <t>Gloria A. Sanchez M.:</t>
        </r>
        <r>
          <rPr>
            <sz val="9"/>
            <color indexed="81"/>
            <rFont val="Tahoma"/>
            <family val="2"/>
          </rPr>
          <t xml:space="preserve">
ABRIL: Se superó la meta nacional del 80%, se recibió y gestionó 12 expedientes para consulta y préstamo de las oficinas de Jurídica, Administración de Personal, Registro y Control, CEIDEUL y Secretaria Académica Decanatura de Derecho. Las cuales fueron atendidas dentro del tiempo establecido en el acuerdo de servicio.</t>
        </r>
      </text>
    </comment>
    <comment ref="I131" authorId="1" shapeId="0">
      <text>
        <r>
          <rPr>
            <b/>
            <sz val="9"/>
            <color indexed="81"/>
            <rFont val="Tahoma"/>
            <family val="2"/>
          </rPr>
          <t>Gloria A. Sanchez M.:</t>
        </r>
        <r>
          <rPr>
            <sz val="9"/>
            <color indexed="81"/>
            <rFont val="Tahoma"/>
            <family val="2"/>
          </rPr>
          <t xml:space="preserve">
MAYO: Se superó la meta nacional del 80%, se recibió y gestionó 11 expedientes para consulta y préstamo de las oficinas de Administración de Personal, Registro y Control, y CEIDEUL. Las cuales fueron atendidas dentro del tiempo establecido en el acuerdo de servicio.</t>
        </r>
      </text>
    </comment>
    <comment ref="J131" authorId="1" shapeId="0">
      <text>
        <r>
          <rPr>
            <b/>
            <sz val="9"/>
            <color indexed="81"/>
            <rFont val="Tahoma"/>
            <family val="2"/>
          </rPr>
          <t>Gloria A. Sanchez M.:</t>
        </r>
        <r>
          <rPr>
            <sz val="9"/>
            <color indexed="81"/>
            <rFont val="Tahoma"/>
            <family val="2"/>
          </rPr>
          <t xml:space="preserve">
JUNIO: Se superó la meta nacional del 80%, se recibió y gestionó 17 expedientes para consulta y préstamo de las oficinas de Administración de Personal, Registro y Control, Secretaria Seccional y CEIDEUL. Las cuales fueron atendidas dentro del tiempo establecido en el acuerdo de servicio.</t>
        </r>
      </text>
    </comment>
    <comment ref="K131" authorId="1" shapeId="0">
      <text>
        <r>
          <rPr>
            <b/>
            <sz val="9"/>
            <color indexed="81"/>
            <rFont val="Tahoma"/>
            <family val="2"/>
          </rPr>
          <t>Gloria A. Sanchez M.:</t>
        </r>
        <r>
          <rPr>
            <sz val="9"/>
            <color indexed="81"/>
            <rFont val="Tahoma"/>
            <family val="2"/>
          </rPr>
          <t xml:space="preserve">
JULIO: Se superó la meta nacional del 80%, se recibió y gestionó 15 expedientes para consulta y préstamo de las oficinas de Gestión Humana, Registro y Control, Secretaria Seccional, Censoria, Decanatura de Derecho y Tesorería. Las cuales fueron atendidas dentro del tiempo establecido en el acuerdo de servicio.</t>
        </r>
      </text>
    </comment>
    <comment ref="L131" authorId="1" shapeId="0">
      <text>
        <r>
          <rPr>
            <b/>
            <sz val="9"/>
            <color indexed="81"/>
            <rFont val="Tahoma"/>
            <family val="2"/>
          </rPr>
          <t>Gloria A. Sanchez M.:</t>
        </r>
        <r>
          <rPr>
            <sz val="9"/>
            <color indexed="81"/>
            <rFont val="Tahoma"/>
            <family val="2"/>
          </rPr>
          <t xml:space="preserve">
AGOSTO: Se superó la meta nacional del 80%, se recibió y gestionó 16 expedientes para consulta y préstamo de las oficinas de Gestión Humana, Registro y Control, Secretaria Seccional, SECRETARIA ACADÉMICA - FDCPS y Sindicatura. Las cuales fueron atendidas dentro del tiempo establecido en el acuerdo de servicio.</t>
        </r>
      </text>
    </comment>
    <comment ref="M131" authorId="1" shapeId="0">
      <text>
        <r>
          <rPr>
            <b/>
            <sz val="9"/>
            <color indexed="81"/>
            <rFont val="Tahoma"/>
            <family val="2"/>
          </rPr>
          <t>Gloria A. Sanchez M.:</t>
        </r>
        <r>
          <rPr>
            <sz val="9"/>
            <color indexed="81"/>
            <rFont val="Tahoma"/>
            <family val="2"/>
          </rPr>
          <t xml:space="preserve">
SEPTIEMBRE: Se superó la meta nacional del 80%, se recibió y gestionó 38 expedientes para consulta y préstamo de las oficinas de Gestión Humana, Registro y Control, Secretaria Seccional, Contratos, Jurídica y Seguridad Social. Las cuales fueron atendidas dentro del tiempo establecido en el acuerdo de servicio.</t>
        </r>
      </text>
    </comment>
    <comment ref="N131" authorId="1" shapeId="0">
      <text>
        <r>
          <rPr>
            <b/>
            <sz val="9"/>
            <color indexed="81"/>
            <rFont val="Tahoma"/>
            <family val="2"/>
          </rPr>
          <t>Gloria A. Sanchez M.:</t>
        </r>
        <r>
          <rPr>
            <sz val="9"/>
            <color indexed="81"/>
            <rFont val="Tahoma"/>
            <family val="2"/>
          </rPr>
          <t xml:space="preserve">
OCTUBRE: Se superó la meta nacional del 80%, se recibió y gestionó 15 expedientes para consulta y préstamo de las oficinas de Gestión Humana, Registro y Control, Secretaria Seccional, Contratos, Jurídica y Seguridad Social. Las cuales fueron atendidas dentro del tiempo establecido en el acuerdo de servicio.
</t>
        </r>
      </text>
    </comment>
    <comment ref="O131" authorId="1" shapeId="0">
      <text>
        <r>
          <rPr>
            <b/>
            <sz val="9"/>
            <color indexed="81"/>
            <rFont val="Tahoma"/>
            <family val="2"/>
          </rPr>
          <t>Gloria A. Sanchez M.:</t>
        </r>
        <r>
          <rPr>
            <sz val="9"/>
            <color indexed="81"/>
            <rFont val="Tahoma"/>
            <family val="2"/>
          </rPr>
          <t xml:space="preserve">
NOVIEMBRE: Se superó la meta nacional del 80%, se recibió y gestionó 26 expedientes para consulta y préstamo de las oficinas de Gestión Humana, Registro y Control, Radicación de Títulos, Secretaria Seccional, Contratos, CEIDEUL y Seguridad Social. Las cuales fueron atendidas dentro del tiempo establecido en el acuerdo de servicio.</t>
        </r>
      </text>
    </comment>
    <comment ref="P131" authorId="1" shapeId="0">
      <text>
        <r>
          <rPr>
            <b/>
            <sz val="9"/>
            <color indexed="81"/>
            <rFont val="Tahoma"/>
            <family val="2"/>
          </rPr>
          <t>Gloria A. Sanchez M.:</t>
        </r>
        <r>
          <rPr>
            <sz val="9"/>
            <color indexed="81"/>
            <rFont val="Tahoma"/>
            <family val="2"/>
          </rPr>
          <t xml:space="preserve">
DICIEMBRE: Se superó la meta nacional del 80%, se recibió y gestionó 6 expedientes para consulta y préstamo de las oficinas de Radicación de Títulos, Secretaria Seccional, Jurídica y Tesorería. Las cuales fueron atendidas dentro del tiempo establecido en el acuerdo de servicio.</t>
        </r>
      </text>
    </comment>
    <comment ref="E133" authorId="1" shapeId="0">
      <text>
        <r>
          <rPr>
            <b/>
            <sz val="9"/>
            <color indexed="81"/>
            <rFont val="Tahoma"/>
            <family val="2"/>
          </rPr>
          <t>Gloria A. Sanchez M.:</t>
        </r>
        <r>
          <rPr>
            <sz val="9"/>
            <color indexed="81"/>
            <rFont val="Tahoma"/>
            <family val="2"/>
          </rPr>
          <t xml:space="preserve">
2022-1:  Se cumple la meta del 100%. De un total 329 documentos recibidos, el 100% fueron entregados dentro de los tiempos establecidos en el acuerdo de servicio. 5 de ellos fueron entregados solo en forma digital equivalente al 1,52 % obedeció a que no fue posible la entrega de la documentación de forma física, debido a las siguientes situaciones: La oficina se encontraba cerrada, las secretarias o encargados estaban de permiso o en incapacidad, entre otras.
Es de aclarar, que los 329 documentos recibidos fueron notificados en su totalidad a los destinatarios de la correspondencia de forma digitalizada al correo electrónico el mismo día de la recepción de los documentos, esto con el fin de optimizar y agilizar el trámite en la oficina. Ya que cumplido con el registro y radicación de los documentos, se distribuida con el mensajero interno para su correspondiente entrega.
</t>
        </r>
      </text>
    </comment>
    <comment ref="K133" authorId="1" shapeId="0">
      <text>
        <r>
          <rPr>
            <sz val="9"/>
            <color indexed="81"/>
            <rFont val="Tahoma"/>
            <family val="2"/>
          </rPr>
          <t>Se cumple la meta del 100%. De un total 340 documentos recibidos, el 100% fueron entregados dentro de los tiempos establecidos en el acuerdo de servicio. 4 de ellos fueron entregados solo en forma digital equivalente al 1,18 %, ya que no fue posible la entrega de la documentación de forma física, debido a las siguientes situaciones: La oficina se encontraba cerrada, las secretarias o encargados estaban de permiso o en incapacidad, entre otras.
Es de aclarar, que los 340 documentos recibidos fueron notificados en su totalidad a los destinatarios de la correspondencia de forma digitalizada al correo electrónico institucional el mismo día de la recepción de los documentos, esto con el fin de optimizar y agilizar el trámite en la oficina. Ya que cumplido con el registro y radicación de los documentos, se distribuida con el mensajero interno para su correspondiente entrega.</t>
        </r>
      </text>
    </comment>
    <comment ref="D134" authorId="0" shapeId="0">
      <text>
        <r>
          <rPr>
            <b/>
            <sz val="9"/>
            <color indexed="81"/>
            <rFont val="Tahoma"/>
            <family val="2"/>
          </rPr>
          <t>Gloria Amparo Sanchez:</t>
        </r>
        <r>
          <rPr>
            <sz val="9"/>
            <color indexed="81"/>
            <rFont val="Tahoma"/>
            <family val="2"/>
          </rPr>
          <t xml:space="preserve">
Rango Bueno:70% - 60 %</t>
        </r>
      </text>
    </comment>
    <comment ref="E134" authorId="1" shapeId="0">
      <text>
        <r>
          <rPr>
            <b/>
            <sz val="9"/>
            <color indexed="81"/>
            <rFont val="Tahoma"/>
            <family val="2"/>
          </rPr>
          <t>Gloria A. Sanchez M.:</t>
        </r>
        <r>
          <rPr>
            <sz val="9"/>
            <color indexed="81"/>
            <rFont val="Tahoma"/>
            <family val="2"/>
          </rPr>
          <t xml:space="preserve">
Facultad de Ciencias de la Salud, Exactas y Naturales: Se supera la meta estándar nacional , ya que en la Facultad se obtuvo un resultado del 83,67%. De los 49 docentes adscritos a la facultad, 41 cuentan con maestría o doctorado.
Es importante señalar que en los programas de enfermería y Microbiología, el 100% de los docentes del componente profesional cuentan con formación avanzada. En cuanto a Nutrición y Dietética por tratarse de un programa joven, el porcentaje de docentes del componente profesional es del 57%, situación que se irá subsanando en la medida en que terminen sus estudios de posgrado.
Distribución del nivel de formación por centro de costos:
Nutrición y Dietética: 3 doctores y 7 magísteres
Enfermería: 3 doctores y 15 magísteres
Microbiología: 4 doctores y 9 magísteres
Vale la pena aclarar que el número de docentes registrados por centro de costos difiere del número real de docentes que dictan asignaturas en la Facultad (Docentes: 52 - con títulos de: Doctor: 11 y Magíster: 32)
Por programas la situación es así:
Nutrición y Dietética: 5 doctores y 11 magísteres
Enfermería: 6 doctores y 16 magísteres
Microbiología: 8 doctores y 14 magísteres
En la Facultad en proceso de formación doctoral, se cuenta con 6 docentes con formación doctoral</t>
        </r>
      </text>
    </comment>
    <comment ref="K134" authorId="1" shapeId="0">
      <text>
        <r>
          <rPr>
            <b/>
            <sz val="9"/>
            <color indexed="81"/>
            <rFont val="Tahoma"/>
            <family val="2"/>
          </rPr>
          <t>Gloria A. Sanchez M.:</t>
        </r>
        <r>
          <rPr>
            <sz val="9"/>
            <color indexed="81"/>
            <rFont val="Tahoma"/>
            <family val="2"/>
          </rPr>
          <t xml:space="preserve">
La facultad cuenta con 54 docentes de los cuales 46, el 85,19% tienen formación avanzada, bien sea en doctorado con el 22,22% como en maestría con el 62,96%.
Por programas tenemos la siguiente composición de los docentes:
ENFERMERÍA: 26 docentes, de los cuales 6, el 23,08 son doctores, 18, el 69,2% magísteres, y los 2 restantes, especialistas.
MICROBIOLOGÍA: 25 docentes, de los cuales 9, el 36% tienen formación doctoral; 14, el 56% maestría, 1, el 4% son especialistas y 1, el 4% restante, pregrado.
NUTRICIÓN Y DIETÉTICA: 24 docentes, de los cuales 6, el 25% son doctores, 12, el 48% tienen formación en Maestría, 4, el 16,67% son especialistas y 2, el 8,33% pregrado.
Como puede observarse, la meta se cumple ampliamente.
Vale la pena anotar que varios docentes realizan actividades de aula en todos los programas de la facultad.</t>
        </r>
      </text>
    </comment>
    <comment ref="E135" authorId="1" shapeId="0">
      <text>
        <r>
          <rPr>
            <b/>
            <sz val="9"/>
            <color indexed="81"/>
            <rFont val="Tahoma"/>
            <family val="2"/>
          </rPr>
          <t>Gloria A. Sanchez M.:</t>
        </r>
        <r>
          <rPr>
            <sz val="9"/>
            <color indexed="81"/>
            <rFont val="Tahoma"/>
            <family val="2"/>
          </rPr>
          <t xml:space="preserve">
La Facultad de Ciencias Económicas, Administrativas y Contables cuenta con 38 docentes por centro de costos, de los cuales 6 tienen doctorado, 24 cuentan con formación en maestría, 7 son especialistas y uno con pregrado, cumpliéndose la meta estandar nacional con un resultado del 78.95, distribuidos por programa así:
Economía: 10 docentes (3 doctores, 6 magister y un especialista).
Contaduría Pública: 16 docentes (14 con maestría y 2 con especialización)
Administración de Empresas: 12 docentes ( 3 doctores, 4 magister, 4 especialistas y un pregrado)</t>
        </r>
      </text>
    </comment>
    <comment ref="K135" authorId="1" shapeId="0">
      <text>
        <r>
          <rPr>
            <b/>
            <sz val="9"/>
            <color indexed="81"/>
            <rFont val="Tahoma"/>
            <family val="2"/>
          </rPr>
          <t>Gloria A. Sanchez M.:</t>
        </r>
        <r>
          <rPr>
            <sz val="9"/>
            <color indexed="81"/>
            <rFont val="Tahoma"/>
            <family val="2"/>
          </rPr>
          <t xml:space="preserve">
La Facultad de Ciencias Económicas, Administrativas y Contables para el segundo semestre de 2022, cuenta con los mismos 38 docentes por centro de costos del primer semestre del año, de los cuales 5 tienen doctorado (Un docente doctor no continúa con la Universidad), 24 cuentan con formación en maestría, 7 son especialistas y uno con pregrado, cumpliéndose la meta estándar nacional con un resultado del 76.32, distribuidos por programa así:
Economía: 10 docentes (3 doctores, 6 magister y un especialista).
Contaduría Pública: 16 docentes (14 con maestría y 2 con especialización)
Administración de Empresas: 12 docentes ( 3 doctores, 4 magister, 4 especialistas y un pregrado)</t>
        </r>
      </text>
    </comment>
    <comment ref="E136" authorId="1" shapeId="0">
      <text>
        <r>
          <rPr>
            <b/>
            <sz val="9"/>
            <color indexed="81"/>
            <rFont val="Tahoma"/>
            <family val="2"/>
          </rPr>
          <t>Gloria A. Sanchez M.:</t>
        </r>
        <r>
          <rPr>
            <sz val="9"/>
            <color indexed="81"/>
            <rFont val="Tahoma"/>
            <family val="2"/>
          </rPr>
          <t xml:space="preserve">
FACULTAD DE DERECHO, CIENCIAS POLÍTICAS Y SOCIALES
En la facultad, se presenta un total de 100 docentes vinculados, se tienen 68 magísteres, 4 Doctores, 27 especialistas y 1 con título de pregrado, obteniéndose un resultado del 72%.
Programa de Trabajo Social
Total de Docentes: 14
Magíster: 14
Programa de Derecho (Semestral y Anualizado)
Pregrado: 1
Especialistas: 27
Megister: 55
Doctores: 4</t>
        </r>
      </text>
    </comment>
    <comment ref="K136" authorId="1" shapeId="0">
      <text>
        <r>
          <rPr>
            <b/>
            <sz val="9"/>
            <color indexed="81"/>
            <rFont val="Tahoma"/>
            <family val="2"/>
          </rPr>
          <t>Gloria A. Sanchez M.:</t>
        </r>
        <r>
          <rPr>
            <sz val="9"/>
            <color indexed="81"/>
            <rFont val="Tahoma"/>
            <family val="2"/>
          </rPr>
          <t xml:space="preserve">
En la facultad, se presenta un total de 100 docentes vinculados, se tienen 67 magísteres, 5 Doctores, 27 especialistas y 1 con título de pregrado, obteniéndose un resultado del 72%.
Programa de Trabajo Social
Total de Docentes: 14
Magíster: 13
Doctora: 1
Programa de Derecho (Semestral y Anualizado)
Pregrado: 1
Especialistas: 27
Megister: 55
Doctores: 4</t>
        </r>
      </text>
    </comment>
    <comment ref="E137" authorId="1" shapeId="0">
      <text>
        <r>
          <rPr>
            <b/>
            <sz val="9"/>
            <color indexed="81"/>
            <rFont val="Tahoma"/>
            <family val="2"/>
          </rPr>
          <t>Gloria A. Sanchez M.:</t>
        </r>
        <r>
          <rPr>
            <sz val="9"/>
            <color indexed="81"/>
            <rFont val="Tahoma"/>
            <family val="2"/>
          </rPr>
          <t xml:space="preserve">
Facultad de Ingenierías: Se tiene la misma información del 2022-1:
Se cumple la meta estándar nacional , en la Facultad de ingenierías se obtuvo un resultado del 78,69%. De un total de 61 docentes adscritos a la Facultad, por centro de costos, se tienen 38 docentes con formación en maestría, equivalente al 62,30%, seguido del nivel de formación de especialización con el 21,3% (13 docentes) y el 16,39% cuenta con nivel de formación de doctorado (10 docentes).
Discriminados por programa así:
Ing. Civil: Total docentes: 41 - 7 con doctorado - 22 con maestría y 12 con especialización.
Ing. Comercial: Total docentes: 10 - 1 con doctorado, 8 con maestría y 1 con especialización.
Ing. Sistemas: Total docentes: 6 - 2 con doctorado - 4 con maestría
Ing. Financiera: Total docentes: 4 - 4 con maestría</t>
        </r>
      </text>
    </comment>
    <comment ref="K137" authorId="1" shapeId="0">
      <text>
        <r>
          <rPr>
            <b/>
            <sz val="9"/>
            <color indexed="81"/>
            <rFont val="Tahoma"/>
            <family val="2"/>
          </rPr>
          <t>Gloria A. Sanchez M.:</t>
        </r>
        <r>
          <rPr>
            <sz val="9"/>
            <color indexed="81"/>
            <rFont val="Tahoma"/>
            <family val="2"/>
          </rPr>
          <t xml:space="preserve">
Facultad de Ingenierías: Se cumple la meta estándar nacional , en la Facultad de ingenierías se obtuvo un resultado del 77,97%. De un total de 59 docentes adscritos a la Facultad, por centro de costos, se tienen 37 docentes con formación en maestría, equivalente al 62,71%, seguido del nivel de formación de especialización con el 22.03% (13 docentes) y el 15,25% cuenta con nivel de formación de doctorado (9 docentes).
Discriminados por programa así:
Ing. Civil: Total docentes: 40 - 6 con doctorado - 22 con maestría y 12 con especialización.
Ing. Comercial: Total docentes: 10 - 1 con doctorado, 8 con maestría y 1 con especialización.
Ing. Sistemas: Total docentes: 6 - 2 con doctorado - 4 con maestría
Ing. Financiera: Total docentes: 4 - 4 con maestría</t>
        </r>
      </text>
    </comment>
    <comment ref="D138" authorId="0" shapeId="0">
      <text>
        <r>
          <rPr>
            <b/>
            <sz val="9"/>
            <color indexed="81"/>
            <rFont val="Tahoma"/>
            <family val="2"/>
          </rPr>
          <t>Gloria Amparo Sanchez:</t>
        </r>
        <r>
          <rPr>
            <sz val="9"/>
            <color indexed="81"/>
            <rFont val="Tahoma"/>
            <family val="2"/>
          </rPr>
          <t xml:space="preserve">
Rango Bueno: 100% - 80%</t>
        </r>
      </text>
    </comment>
    <comment ref="E138" authorId="1" shapeId="0">
      <text>
        <r>
          <rPr>
            <b/>
            <sz val="9"/>
            <color indexed="81"/>
            <rFont val="Tahoma"/>
            <family val="2"/>
          </rPr>
          <t>Gloria A. Sanchez M.:</t>
        </r>
        <r>
          <rPr>
            <sz val="9"/>
            <color indexed="81"/>
            <rFont val="Tahoma"/>
            <family val="2"/>
          </rPr>
          <t xml:space="preserve">
2022: Durante el año 2022, no se radicaron documentos para acreditación en la seccional, pero de acuerdo a las radicaciones realizadas durante las vigencias anteriores, se recibió visita de pares amigos y pares externos del CNA, para los siguientes programas:
1. Enfermería
2. Ingeniería comercial
3. Ingeniería civil
Estamos a la espera de la resolución de los tres programas antes mencionados y Economía</t>
        </r>
      </text>
    </comment>
    <comment ref="D139" authorId="0" shapeId="0">
      <text>
        <r>
          <rPr>
            <b/>
            <sz val="9"/>
            <color indexed="81"/>
            <rFont val="Tahoma"/>
            <family val="2"/>
          </rPr>
          <t>Gloria Amparo Sanchez:</t>
        </r>
        <r>
          <rPr>
            <sz val="9"/>
            <color indexed="81"/>
            <rFont val="Tahoma"/>
            <family val="2"/>
          </rPr>
          <t xml:space="preserve">
Rango Bueno: 100% - 90%</t>
        </r>
      </text>
    </comment>
    <comment ref="E139" authorId="1" shapeId="0">
      <text>
        <r>
          <rPr>
            <b/>
            <sz val="9"/>
            <color indexed="81"/>
            <rFont val="Tahoma"/>
            <family val="2"/>
          </rPr>
          <t>Gloria A. Sanchez M.:</t>
        </r>
        <r>
          <rPr>
            <sz val="9"/>
            <color indexed="81"/>
            <rFont val="Tahoma"/>
            <family val="2"/>
          </rPr>
          <t xml:space="preserve">
Año 2022: Se cumplió la meta estándar nacional, obteniendo un resultado en la seccional del 100%, de un total de 6 programas proyectados para renovación de registro calificad, todos fueron radicados en la plataforma SACES (Especializaciones en: Responsabilidad Médica, Derecho de Daños y responsabilidad pública y privada, Derecho procesal probatorio y oralidad, Derecho del trabajo, pensiones y riesgos laborales, Maestría en Derecho Constitucional y pregrado en Administración). Otros 8 programas académicos a los que se les hizo acompañamiento fueron (Maestría en Seguridad y salud en el trabajo, Pregrados en: Contaduría Pública, Ingenierías: Comercial, Financiera, Sistemas, Civil, Nutrición y Dietética y Microbiología) Programas a los cuales se les hizo acompañamiento por parte de Aseguramiento de la calidad académica y la Oficina de Planeación, se muestran a continuación:
Facultad de Ciencias de la Salud, exactas y naturales:
1. Maestría en gestión de la seguridad y salud en el trabajo: Se apoyó para completitud Pendiente de resolución MEN
1. Pregrado en Nutrición y Dietética: Listo para radicar el documento maestro en Febrero de 2023
2. Pregrado en Microbiología: Listo para entrega a Planeación Nacional el 11 de marzo de 2023
Facultad de Derecho Ciencias Políticas y Sociales:
3. Especialización en Responsabilidad Médica: Se obtuvo la Resolución de 1ª. renovación de registro calificado (Resolución de Aprobación 006496 del 25 abril de 2022)
4. Especialización en Derecho de Daños y responsabilidad pública y privada: Pendiente de resolución MEN
5. Especialización en derecho procesal probatorio y oralidad: Pendiente de resolución MEN
6. Especialización en derecho del trabajo, pensiones y riesgos laborales: Pendiente de resolución MEN
7. Maestría en Derecho Constitucional: Pendiente de resolución MEN
Facultad de Ciencias Económicas, Administrativas y Contables
8. Pregrado en Contaduría Pública: Se obtuvo la Resolución de Aprobación de 2ª. renovación de Registro Calificado No. 014395 de julio 22 de 2022
9. Pregrado en Administración de Empresas: Pendiente de resolución MEN
Facultad de Ingenierías: Con Resoluciones de aprobación del MEN para modificación a 8 semestres:
10. Pregrado en Ingeniería comercial: Resolución No. 004697 del 01 de abril de 2022
11. Pregrado en Ingeniería Financiera: Resolución No. 004695 del 1 abril de 2022
12. Pregrado en Ingeniería Civil: Resolución No. 007758 del 06 de mayo de 2022
13. Pregrado en Ingeniería de Sistemas: Resolución No. 000713 25 enero 2022), Por la cual se corrige la Resolución 023732 de 10 de diciembre de 2021
Se realizó seguimiento al cumplimiento de los momentos 1 y 2 de autoevaluación, en razón de establecer las fechas precisas de cada fase y procedimiento durante la vigencia del Registro Calificado.</t>
        </r>
      </text>
    </comment>
    <comment ref="D140" authorId="0" shapeId="0">
      <text>
        <r>
          <rPr>
            <b/>
            <sz val="9"/>
            <color indexed="81"/>
            <rFont val="Tahoma"/>
            <family val="2"/>
          </rPr>
          <t>Gloria Amparo Sanchez:</t>
        </r>
        <r>
          <rPr>
            <sz val="9"/>
            <color indexed="81"/>
            <rFont val="Tahoma"/>
            <family val="2"/>
          </rPr>
          <t xml:space="preserve">
Rango Bueno: 5 - 3,5</t>
        </r>
      </text>
    </comment>
    <comment ref="E140" authorId="1" shapeId="0">
      <text>
        <r>
          <rPr>
            <b/>
            <sz val="9"/>
            <color indexed="81"/>
            <rFont val="Tahoma"/>
            <family val="2"/>
          </rPr>
          <t>Gloria A. Sanchez M.:</t>
        </r>
        <r>
          <rPr>
            <sz val="9"/>
            <color indexed="81"/>
            <rFont val="Tahoma"/>
            <family val="2"/>
          </rPr>
          <t xml:space="preserve">
Se cumplió con la meta estándar del indicador, donde la evaluación de los docentes de la Facultad, arrojó un promedio de 4.66 en el primer semestre 2022-1 se aplicó a 53 docentes y los valores estuvieron entre 4.0 y 4.94. Por programa académico los promedios fueron así:
Nutrición y dietética, 4,61; Microbiología, 4,66 y Enfermería, 4,71. Los resultados obtenidos hablan del compromiso y responsabilidad de los docentes en su actividad laboral. El 88% de los estudiantes realizaron la evaluación, superando el 70% que exige la norma.</t>
        </r>
      </text>
    </comment>
    <comment ref="K140" authorId="1" shapeId="0">
      <text>
        <r>
          <rPr>
            <b/>
            <sz val="9"/>
            <color indexed="81"/>
            <rFont val="Tahoma"/>
            <family val="2"/>
          </rPr>
          <t>Gloria A. Sanchez M.:</t>
        </r>
        <r>
          <rPr>
            <sz val="9"/>
            <color indexed="81"/>
            <rFont val="Tahoma"/>
            <family val="2"/>
          </rPr>
          <t xml:space="preserve">
Para el presente período se cumplió con la meta estándar del indicador, ya que el promedio general de la facultad fue de 4,72. La evaluación se aplicó a 53 docentes, 38 de planta y 16 catedráticos.
En cuanto a la evaluación por programa académico, el promedio obtenido para el programa de Enfermería fue de 4,74, con una nota mínima de 3,15 y una máxima de 4,98. Para el caso del docente con la más baja calificación, se notificó y se realizó una actividad de mejoramiento.
El programa de Microbiología muestra un promedio de 4,75, con una nota mínima de 4,31 y una máxima de 4,95.
El programa de Nutrición y Dietética obtuvo un promedio de 4,67, con una mínima de 3,78 y una máxima de 4,95.
En términos generales la facultad muestra una calificación que da fe del compromiso, didáctica y responsabilidad.
</t>
        </r>
      </text>
    </comment>
    <comment ref="E141" authorId="1" shapeId="0">
      <text>
        <r>
          <rPr>
            <b/>
            <sz val="9"/>
            <color indexed="81"/>
            <rFont val="Tahoma"/>
            <family val="2"/>
          </rPr>
          <t>Gloria A. Sanchez M.:</t>
        </r>
        <r>
          <rPr>
            <sz val="9"/>
            <color indexed="81"/>
            <rFont val="Tahoma"/>
            <family val="2"/>
          </rPr>
          <t xml:space="preserve">
Para el período académico 2022-1 la Facultad obtuvo un resultado promedio de 4.61, cumpliendo con la meta estandar nacional, distribuida la evaluación por programa así:
Economía: 4.58
Contaduría Pública :4.72
Administración de Empresas: 4.52
Con base en los anteriores resultados, a tres docentes se les informó acerca de su evaluación y las observaciones realizadas por los estudiantes, donde a dos de ellos se les esta formulando un plan de acción de mejora para su ejecución durante el segundo semestre académico de 2022 y a ltercer docente no se le renovó su contrato de trabajo.</t>
        </r>
      </text>
    </comment>
    <comment ref="K141" authorId="1" shapeId="0">
      <text>
        <r>
          <rPr>
            <b/>
            <sz val="9"/>
            <color indexed="81"/>
            <rFont val="Tahoma"/>
            <family val="2"/>
          </rPr>
          <t>Gloria A. Sanchez M.:</t>
        </r>
        <r>
          <rPr>
            <sz val="9"/>
            <color indexed="81"/>
            <rFont val="Tahoma"/>
            <family val="2"/>
          </rPr>
          <t xml:space="preserve">
Se puede observar que para ambos periodos se ha cumplido con la meta estándar nacional, tanto para la Facultad en su conjunto como para cada uno de los programas reflejada en la tendencia creciente de sus resultados como acciones de mejora. De manera más específica, el programa de Contaduría Pública presenta una ligera tendencia a la baja en sus resultados sin que este alejada del promedio de la Facultad y dentro del estándar nacional de la universidad.
El docente identificado con cédula de ciudadanía número 10.283.129 esta desvinculado de la Universidad desde julio 1º de 2022
La docente identificada con la cédula de ciudadanía número 42.060.692, para el 2022-2 se presenta la necesidad de implementar y desarrollar el plan de mejora académico soportado en los siguientes aspectos:
.- Revisión del proceso de fusión de la asignatura de presupuesto, para la orientación de los enfoques en Contaduría Pública y Administración de Empresas
.- Replantear los conceptos y prácticas metodológicas para el desarrollo de las asignaturas. ,.
.- Revisar y reorientar el proceso de evaluación a los estudiantes
.- Realizar proceso de capacitación a través de la Escuela de Formación Docente</t>
        </r>
      </text>
    </comment>
    <comment ref="E142" authorId="1" shapeId="0">
      <text>
        <r>
          <rPr>
            <b/>
            <sz val="9"/>
            <color indexed="81"/>
            <rFont val="Tahoma"/>
            <family val="2"/>
          </rPr>
          <t>Gloria A. Sanchez M.:</t>
        </r>
        <r>
          <rPr>
            <sz val="9"/>
            <color indexed="81"/>
            <rFont val="Tahoma"/>
            <family val="2"/>
          </rPr>
          <t xml:space="preserve">
El programa de Derecho semestralizado para el período 2022-1, evaluó 5 docentes que cumpliero con el 70% de la evaluación estudiantil de un total de 37 asignados al programa de Derecho Semestral, con un promedio de 4.58.
Es importante aclarar que para el programa anualizado, se realizará en el mes de Octubre de 2022.
Con el ánimo de lograr mayor participación de los estudiantes en la evaluación docente, se están realizando acciones para promocionar la importancia del proceso.
</t>
        </r>
      </text>
    </comment>
    <comment ref="K142" authorId="1" shapeId="0">
      <text>
        <r>
          <rPr>
            <b/>
            <sz val="9"/>
            <color indexed="81"/>
            <rFont val="Tahoma"/>
            <family val="2"/>
          </rPr>
          <t>Gloria A. Sanchez M.:</t>
        </r>
        <r>
          <rPr>
            <sz val="9"/>
            <color indexed="81"/>
            <rFont val="Tahoma"/>
            <family val="2"/>
          </rPr>
          <t xml:space="preserve">
El programa de Derecho semestralizado para el período 2022-2, obtuvo un resultado de evaluación docente 4.95 correspondiente a una docente, ya que no fue posible llgar al 70% de evaluación estudiantil en los 49 docentes objeto de evaluación para este período.
Es importante anotar que la baja participación de los estudiantes obedece a la falta de credibilidad en el proceso de evaluación, como oportunidad de mejora se han venido desarrollando estrategias de concientización, promoción de la evaluación docente con los representantes de grupo y líderes estudiantiles, con el fin de lograr que los estudiantes realicen el proceso de evaluación en su integralidad, para lograr que los estudiantes tengan claro la importancia de evaluar a sus docentes.
El programa de Trabajo Social, obtuvo un resultado de evaluación docente de 4.45 correspondiente a 20 docentes de un total de 21 docentes objeto de evaluación.
Es importante informar que las observaciones realizadas por los estudiantes en su evaluación de cada uno de los programas se les envía como retroalimentación y mejora de proceso.
NOTA: los docentes evaluados se toman como centro de costos de cada uno de los programas.
</t>
        </r>
      </text>
    </comment>
    <comment ref="E143" authorId="1" shapeId="0">
      <text>
        <r>
          <rPr>
            <b/>
            <sz val="9"/>
            <color indexed="81"/>
            <rFont val="Tahoma"/>
            <family val="2"/>
          </rPr>
          <t>Gloria A. Sanchez M.:</t>
        </r>
        <r>
          <rPr>
            <sz val="9"/>
            <color indexed="81"/>
            <rFont val="Tahoma"/>
            <family val="2"/>
          </rPr>
          <t xml:space="preserve">
2022-1: Durante el primer semestre en la Facultad se cumplió la meta nacional de 4,5, obteniéndose un resultado del 4,61. de un total de 61 docentes evaluados se obtuvieron los siguientes resultados: 72.13% (44 docentes) obtuvieron la calificación de Excelente; 24.59% (15 docentes) obtuvieron la calificación de Bueno y 3,28% (2 docentes) obtuvieron la calificación de Satisfactorio. No se obtuvieron calificaciones de Regular o Muy Deficiente.
Como plan de acción el Comité de Evaluación y Selección Docente recomendó que los docentes con evaluación de Satisfactorio revisen las estrategias metodológicas.
Nota:
1.El número de docentes para cada programa varía en relación con los asignados al centro de costos, toda vez que existen varios docentes vinculados en varios programas de la Facultad
2. La evaluación docente no es posible obtenerla por programa, toda vez que el resultado se obtiene de la totalidad de estudiantes que un docente tiene en los diversos grupos asignados, es decir, con la participación de todos los programas, además de la existencia del área de Ciencias Básicas</t>
        </r>
      </text>
    </comment>
    <comment ref="K143" authorId="1" shapeId="0">
      <text>
        <r>
          <rPr>
            <b/>
            <sz val="9"/>
            <color indexed="81"/>
            <rFont val="Tahoma"/>
            <family val="2"/>
          </rPr>
          <t>Gloria A. Sanchez M.:</t>
        </r>
        <r>
          <rPr>
            <sz val="9"/>
            <color indexed="81"/>
            <rFont val="Tahoma"/>
            <family val="2"/>
          </rPr>
          <t xml:space="preserve">
Durante el segundo semestre en la Facultad se cumplió la meta nacional de cuatro punto cinco (4.5), obteniéndose un resultado de cuatro sesenta y uno (4,61). De un total de 61 docentes evaluados se obtuvieron los siguientes resultados: 70,49% (43 docentes) obtuvieron la calificación de Excelente; 27,86% (17 docentes) obtuvieron la calificación de Bueno y 1,63% (1 docente) obtuvieron la calificación de Regular. No se obtuvieron calificaciones de Satisfactorio o Muy deficiente; distribuida la evaluación por programa así:
Ingeniería Comercial: 4,73
Ingeniería Civil: 4,56
Ingeniería de Sistemas: 4,70
Ingeniería Financiera: 4,72
Como Plan de acción el Comité de Evaluación y Selección Docente de la Facultad recomendó que los docentes con evaluación estudiantiles por debajo de 4, calificación Satisfactoria, revisen las estrategias estrategias metodológicas. Y con relación al docente que obtuvo la Evaluación de Regular dar aplicación lo establecido en el Artículo 51. Consecuencias de la evaluación docente contemplado en el Reglamento Docente (Acuerdo Nro 06 de 2017).
Nota 1. El número de docentes para cada programa varía en relación con los asignados al centro de costo, toda vez que existen varios docentes vinculados en varios programas de la Facultad.
Nota 2. La evaluación docente no es posible obtenerla por programa toda vez que el resultado se obtiene de la totalidad de estudiantes que un docente tiene en los diversos grupos asignados, es decir, con la participación de todos los programas, además de la existencia del área de Ciencias Básicas.
</t>
        </r>
      </text>
    </comment>
    <comment ref="D144" authorId="0" shapeId="0">
      <text>
        <r>
          <rPr>
            <b/>
            <sz val="9"/>
            <color indexed="81"/>
            <rFont val="Tahoma"/>
            <family val="2"/>
          </rPr>
          <t>Gloria Amparo Sanchez:</t>
        </r>
        <r>
          <rPr>
            <sz val="9"/>
            <color indexed="81"/>
            <rFont val="Tahoma"/>
            <family val="2"/>
          </rPr>
          <t xml:space="preserve">
Rango Bueno: 5 - 3,5</t>
        </r>
      </text>
    </comment>
    <comment ref="E144" authorId="1" shapeId="0">
      <text>
        <r>
          <rPr>
            <b/>
            <sz val="9"/>
            <color indexed="81"/>
            <rFont val="Tahoma"/>
            <family val="2"/>
          </rPr>
          <t>Gloria A. Sanchez M.:</t>
        </r>
        <r>
          <rPr>
            <sz val="9"/>
            <color indexed="81"/>
            <rFont val="Tahoma"/>
            <family val="2"/>
          </rPr>
          <t xml:space="preserve">
En la Facultad de Ciencias de la Salud, Exactas y Naturales se programaron 11328 horas en aula, de las cuales se cumplió el 100%. Es importante anotar que la presencialidad después de casi dos años de trabajo virtual se constituyó en un elemento muy importante de relacionamiento e incremento del sentido de pertenencia a la institución.
Además las actividades de práctica formativa y profesional extrainstitucional se cumplió a cabalidad.</t>
        </r>
      </text>
    </comment>
    <comment ref="K144" authorId="1" shapeId="0">
      <text>
        <r>
          <rPr>
            <b/>
            <sz val="9"/>
            <color indexed="81"/>
            <rFont val="Tahoma"/>
            <family val="2"/>
          </rPr>
          <t>Gloria A. Sanchez M.:</t>
        </r>
        <r>
          <rPr>
            <sz val="9"/>
            <color indexed="81"/>
            <rFont val="Tahoma"/>
            <family val="2"/>
          </rPr>
          <t xml:space="preserve">
La facultad de Ciencias de la salud, exactas y naturales cumplió durante el segundo semestre de 2022 con el 100% de clases programadas, tanto en lo que se refiere a horas teóricas, como de laboratorio y práctica de cada uno de los programas, Así:
Enfermería: 6292 horas
Microbiología: 4064 horas
Nutrición y dietética: 4300 horas</t>
        </r>
      </text>
    </comment>
    <comment ref="E145" authorId="1" shapeId="0">
      <text>
        <r>
          <rPr>
            <b/>
            <sz val="9"/>
            <color indexed="81"/>
            <rFont val="Tahoma"/>
            <family val="2"/>
          </rPr>
          <t>Gloria A. Sanchez M.:</t>
        </r>
        <r>
          <rPr>
            <sz val="9"/>
            <color indexed="81"/>
            <rFont val="Tahoma"/>
            <family val="2"/>
          </rPr>
          <t xml:space="preserve">
En la Facultad de Ciencias Económicas, administrativas y Contables :
Se cumple la meta nacional del 100% con 8576 horas de clases presenciales en el semestre programadas y ejecutadas (536 horas presenciales semanales por 16 semanas )
Como novedad se presentaron dos horas no dictadas en el horario establecido para el docente, las cuales fueron recuperadas.</t>
        </r>
      </text>
    </comment>
    <comment ref="K145" authorId="1" shapeId="0">
      <text>
        <r>
          <rPr>
            <b/>
            <sz val="9"/>
            <color indexed="81"/>
            <rFont val="Tahoma"/>
            <family val="2"/>
          </rPr>
          <t>Gloria A. Sanchez M.:</t>
        </r>
        <r>
          <rPr>
            <sz val="9"/>
            <color indexed="81"/>
            <rFont val="Tahoma"/>
            <family val="2"/>
          </rPr>
          <t xml:space="preserve">
En la Facultad de Ciencias Económicas, administrativas y Contables :
Se cumple la meta nacional del 100% con 8576 horas de clases presenciales en el semestre programadas y ejecutadas (536 horas presenciales semanales por 16 semanas )
Como novedad se presentaron dos horas no dictadas en el horario establecido para el docente, las cuales fueron recuperadas.</t>
        </r>
      </text>
    </comment>
    <comment ref="E146" authorId="1" shapeId="0">
      <text>
        <r>
          <rPr>
            <b/>
            <sz val="9"/>
            <color indexed="81"/>
            <rFont val="Tahoma"/>
            <family val="2"/>
          </rPr>
          <t>Gloria A. Sanchez M.:</t>
        </r>
        <r>
          <rPr>
            <sz val="9"/>
            <color indexed="81"/>
            <rFont val="Tahoma"/>
            <family val="2"/>
          </rPr>
          <t xml:space="preserve">
FACULTAD DE DERECHO, CIENCIAS POLÍTICAS Y SOCIALES
Se cumple la meta nacional del 100% con 4.544 horas de clases presenciales en el semestre 2022-1 programadas y ejecutadas (1.984 Programa de Derecho Semestralizado y 4.544 horas del programa de Trabajo Social presenciales semanales por 16 semanas).</t>
        </r>
      </text>
    </comment>
    <comment ref="K146" authorId="1" shapeId="0">
      <text>
        <r>
          <rPr>
            <b/>
            <sz val="9"/>
            <color indexed="81"/>
            <rFont val="Tahoma"/>
            <family val="2"/>
          </rPr>
          <t>Gloria A. Sanchez M.:</t>
        </r>
        <r>
          <rPr>
            <sz val="9"/>
            <color indexed="81"/>
            <rFont val="Tahoma"/>
            <family val="2"/>
          </rPr>
          <t xml:space="preserve">
FACULTAD DE DERECHO, CIENCIAS POLÍTICAS Y SOCIALES
Se cumple la meta nacional del 100% con 6.580 horas de clases presenciales en el semestre 2022-2 programadas y ejecutadas (2.036 Programa de Derecho Semestralizado y 4.544 horas del programa de Trabajo Social presenciales semanales por 16 semanas).</t>
        </r>
      </text>
    </comment>
    <comment ref="E147" authorId="1" shapeId="0">
      <text>
        <r>
          <rPr>
            <b/>
            <sz val="9"/>
            <color indexed="81"/>
            <rFont val="Tahoma"/>
            <family val="2"/>
          </rPr>
          <t>Gloria A. Sanchez M.:</t>
        </r>
        <r>
          <rPr>
            <sz val="9"/>
            <color indexed="81"/>
            <rFont val="Tahoma"/>
            <family val="2"/>
          </rPr>
          <t xml:space="preserve">
Facultad de Ingeniería: En la facultad desde el inicio de las clases y hasta la fecha de terminación del período académico contemplado en el Calendario Académico para el primer semestre de 2022-1, las clases programadas desde cada uno de los programas adscritos a la Facultad y desde el área de Ciencias Básicas se orientaron en un 100%. La metodología implementada fue presencial.</t>
        </r>
      </text>
    </comment>
    <comment ref="K147" authorId="1" shapeId="0">
      <text>
        <r>
          <rPr>
            <b/>
            <sz val="9"/>
            <color indexed="81"/>
            <rFont val="Tahoma"/>
            <family val="2"/>
          </rPr>
          <t>Gloria A. Sanchez M.:</t>
        </r>
        <r>
          <rPr>
            <sz val="9"/>
            <color indexed="81"/>
            <rFont val="Tahoma"/>
            <family val="2"/>
          </rPr>
          <t xml:space="preserve">
Facultad de Ingeniería: En la facultad desde el inicio de las clases y hasta la fecha de terminación del período académico contemplado en el Calendario Académico para el primer semestre de 2022-2, las clases programadas desde cada uno de los programas adscritos a la Facultad y desde el área de Ciencias Básicas se orientaron en un 100%. La metodología implementada fue presencial.</t>
        </r>
      </text>
    </comment>
    <comment ref="D148" authorId="0" shapeId="0">
      <text>
        <r>
          <rPr>
            <b/>
            <sz val="9"/>
            <color indexed="81"/>
            <rFont val="Tahoma"/>
            <family val="2"/>
          </rPr>
          <t>Gloria Amparo Sanchez:</t>
        </r>
        <r>
          <rPr>
            <sz val="9"/>
            <color indexed="81"/>
            <rFont val="Tahoma"/>
            <family val="2"/>
          </rPr>
          <t xml:space="preserve">
Indicador: de Investigaciones: “GRUPOS DE INVESTIGACIÓN RECONOCIDOS Y ESCALAFONADOS POR MINCIENCIAS” Para las Seccionales de Cali y Cúcuta la formula fue corregida. </t>
        </r>
      </text>
    </comment>
    <comment ref="E148" authorId="1" shapeId="0">
      <text>
        <r>
          <rPr>
            <b/>
            <sz val="9"/>
            <color indexed="81"/>
            <rFont val="Tahoma"/>
            <family val="2"/>
          </rPr>
          <t>Gloria A. Sanchez M.:</t>
        </r>
        <r>
          <rPr>
            <sz val="9"/>
            <color indexed="81"/>
            <rFont val="Tahoma"/>
            <family val="2"/>
          </rPr>
          <t xml:space="preserve">
Se cumple la meta estándar nacional, con un resultado seccional de 12,50%. De los 11 grupos de investigación presentados por la Seccional ante Minciencias en la convocatoria 894, el 100%nfueron reconocidos y clasificados, mostrando un salto cuantitativo en el sentido que es primera vez que todos los grupos fueron clasificados. En la Facultad de Ciencias Económicas Administrativas y Contables los tres grupos mantuvieron su clasificación en B, resultado satisfactorio de acuerdo al número de docentes investigadores. En la Facultad de ingeniería dos grupos INAP y TRUEQUE, bajaron su clasificación quedando en B, este cambio obedece de un lado al crecimiento presentado em el indicador de grupo nacional, y de otra parte al efecto que tuvo el menor puntaje en el modelo de MInciencias de los libros y capítulos de libro. Se destaca que el grupo DRACMA, fue clasificado en B. Los dos grupos GICIVIL y OBELIX conservaron su clasificación. En la Facultad de Derecho, Ciencias Políticas y Sociales, el grupos Derecho, Estado y Sociedad conservó su clasificación en A.
En la Facultad de Ciencias de la Salud, Exactas y Naturales, se presentaron crecimientos el grupo Gerencia del Cuidado fue clasificado en A. y el grupo MICROBIOTEC en A1, este magnifico resultado expresa el trabajo en equipo, la estrategia y seguimiento a la misma, alcanzando por primera vez la seccional un grupo esta clasificación.
En general los resultados en la seccional de los grupos de investigación fueron positivos , consecuente con el trabajo colaborativo.</t>
        </r>
      </text>
    </comment>
    <comment ref="D149" authorId="0" shapeId="0">
      <text>
        <r>
          <rPr>
            <b/>
            <sz val="9"/>
            <color indexed="81"/>
            <rFont val="Tahoma"/>
            <family val="2"/>
          </rPr>
          <t>Gloria Amparo Sanchez:</t>
        </r>
        <r>
          <rPr>
            <sz val="9"/>
            <color indexed="81"/>
            <rFont val="Tahoma"/>
            <family val="2"/>
          </rPr>
          <t xml:space="preserve">
Rango bueno: 5 - 4</t>
        </r>
      </text>
    </comment>
    <comment ref="E149" authorId="1" shapeId="0">
      <text>
        <r>
          <rPr>
            <b/>
            <sz val="9"/>
            <color indexed="81"/>
            <rFont val="Tahoma"/>
            <family val="2"/>
          </rPr>
          <t>Gloria A. Sanchez M.:</t>
        </r>
        <r>
          <rPr>
            <sz val="9"/>
            <color indexed="81"/>
            <rFont val="Tahoma"/>
            <family val="2"/>
          </rPr>
          <t xml:space="preserve">
Se cumple la meta estándar de valoración de las actividades de grupos de investigación, con un resultado seccional de 4.58 en los 12 grupos de investigación, discriminado por Facultad así:
Facultad de Ingenierías: 4,5 ( 5 evaluaciones de los grupos de investigación)
Facultad de CEAC: 4,5 ( 3 evaluaciones de los grupos de investigación)
Facultad de Derecho CPS: 4,5 ( 1 evaluación del grupo de investigación)
Facultad de Ciencias de la Salud Exactas y naturales: 4,8 ( 3 evaluaciones de los grupos de investigación)</t>
        </r>
      </text>
    </comment>
    <comment ref="K149" authorId="1" shapeId="0">
      <text>
        <r>
          <rPr>
            <b/>
            <sz val="9"/>
            <color indexed="81"/>
            <rFont val="Tahoma"/>
            <family val="2"/>
          </rPr>
          <t>Gloria A. Sanchez M.:</t>
        </r>
        <r>
          <rPr>
            <sz val="9"/>
            <color indexed="81"/>
            <rFont val="Tahoma"/>
            <family val="2"/>
          </rPr>
          <t xml:space="preserve">
Los resultados de las actividades desarrolladas de los grupos de investigación de la seccional presentaron un resultado total de 4.67 puntos, sumando la meta estándar de 4. Por facultad, su comportamiento fue el siguiente: En Ingeniera 4,60, Ciencias Económicas Administrativas y Contables 4,67. La faculta de Derecho Ciencias Políticas y Sociales 4.50 y la Faculta de Ciencias de la Salud, exactas y naturales 4.90. Estos resultados son coherentes con el resultados del PIDI que evalua los proyectos 11 y 12 de investigación.</t>
        </r>
      </text>
    </comment>
    <comment ref="D152" authorId="1" shapeId="0">
      <text>
        <r>
          <rPr>
            <b/>
            <sz val="9"/>
            <color indexed="81"/>
            <rFont val="Tahoma"/>
            <family val="2"/>
          </rPr>
          <t>Gloria A. Sanchez M.:</t>
        </r>
        <r>
          <rPr>
            <sz val="9"/>
            <color indexed="81"/>
            <rFont val="Tahoma"/>
            <family val="2"/>
          </rPr>
          <t xml:space="preserve">
 Indicador: de Investigaciones: “EJECUCIÓN PRESUPUESTAL DE INVESTIGACIONES”, se modifica con el objetivo que el director de Investigaciones de cada Seccional sea quien lo diligencie con la información suministrada por cada una de las diferentes facultades. </t>
        </r>
      </text>
    </comment>
    <comment ref="D153" authorId="0" shapeId="0">
      <text>
        <r>
          <rPr>
            <b/>
            <sz val="9"/>
            <color indexed="81"/>
            <rFont val="Tahoma"/>
            <family val="2"/>
          </rPr>
          <t>Gloria Amparo Sanchez:</t>
        </r>
        <r>
          <rPr>
            <sz val="9"/>
            <color indexed="81"/>
            <rFont val="Tahoma"/>
            <family val="2"/>
          </rPr>
          <t xml:space="preserve">
Rango bueno: 2,99% - 1,50%</t>
        </r>
      </text>
    </comment>
    <comment ref="E153" authorId="1" shapeId="0">
      <text>
        <r>
          <rPr>
            <b/>
            <sz val="9"/>
            <color indexed="81"/>
            <rFont val="Tahoma"/>
            <family val="2"/>
          </rPr>
          <t>Gloria A. Sanchez M.:</t>
        </r>
        <r>
          <rPr>
            <sz val="9"/>
            <color indexed="81"/>
            <rFont val="Tahoma"/>
            <family val="2"/>
          </rPr>
          <t xml:space="preserve">
Durante el 2022, se cumplió la meta nacional, obteniéndose un resultado del 5,13%. Se movilizaron internacionalmente 6 profesores, de los cuales 1 fue de manera virtual.
Es importante aclarar que para determinar l planta docente que cumple con los requisitos del indicador, se tomó en cuenta 97 profesores en jornada completa con una antigüedad mayor a 6 años y 20 docentes de media jornada con una antigüedad mínima de 3 años. El objetivo de las movilidades, fue cumplir actividades acordes con su labor de investigación y fortalecimiento de redes de investigación internacionales.</t>
        </r>
      </text>
    </comment>
    <comment ref="D154" authorId="0" shapeId="0">
      <text>
        <r>
          <rPr>
            <b/>
            <sz val="9"/>
            <color indexed="81"/>
            <rFont val="Tahoma"/>
            <family val="2"/>
          </rPr>
          <t>Gloria Amparo Sanchez:</t>
        </r>
        <r>
          <rPr>
            <sz val="9"/>
            <color indexed="81"/>
            <rFont val="Tahoma"/>
            <family val="2"/>
          </rPr>
          <t xml:space="preserve">
Rango bueno: 2,99% - 1,50%</t>
        </r>
      </text>
    </comment>
    <comment ref="E154" authorId="1" shapeId="0">
      <text>
        <r>
          <rPr>
            <sz val="8"/>
            <color indexed="81"/>
            <rFont val="Tahoma"/>
            <family val="2"/>
          </rPr>
          <t>Durante el año 2022 la seccional cumplió la meta estándar del indicador, obteniéndose un resultado del 34,61%. De un total de 2.199 estudiantes que cursaron el 40% de los créditos, 761 se beneficiaron con programas de movilidad entrante y saliente (17 presencial de estudiantes hacia el exterior y 744 modalidad virtual).
Modalidad presencial:
Se tuvieron 3 estudiantes en movilidad internacional entrante de Ingeniería civil (1) y Microbiología (2), provenientes de México, generada por la participación del convenio de cooperación en investigación DELFIN.
El total de estudiantes en movilidad saliente internacional fue de 17 alumnos por movilidad en las 4 Facultades: Ciencias económicas y administrativas - Derecho Ciencias Políticas y sociales - Ingenierías y Ciencias de la Salud Exactas y naturales, desagregados así: intercambio 9, 5 estudiantes por movilidad doble titulación, internacional con México Clacso y un curso virtual de programación de 20 estudiantes de ingeniería de sistemas (RIISIC - Argentina).
A continuación listo la movilidad virtual internacional reportada por las facultades en 2022:
Internacionalización virtual 2022:
Faceac: Información del diplomado internacional en finanzas internacionales desarrollado en colaboración con la Universidad Nacional Autónoma de México - asisten virtualmente 23 estudiantes UL y dos extranjeros (docentes que dictan el seminario)
Charla informativa con Northwestern State, USA: Se conectan 119 personas estudiantes UL
Participación en el seminario de Doctorado del Doctor Edgar Ortiz de la Universidad Nacional Autónoma de México. Asiste la postulante a doctorado profesora Angelica Morales.
Ingeniería de Sistemas:
20222: webinar : control de bucles 20 estudiantes UL , webinar Red Hat 19 participantes entre estudiantes unilibristas y extranjeros, curso de programación 600 participantes: curso dado a nivel nacional a todos los estudiantes interesados de la universidad libre.</t>
        </r>
      </text>
    </comment>
    <comment ref="D159" authorId="1" shapeId="0">
      <text>
        <r>
          <rPr>
            <b/>
            <sz val="9"/>
            <color indexed="81"/>
            <rFont val="Tahoma"/>
            <family val="2"/>
          </rPr>
          <t>Gloria A. Sanchez M.:</t>
        </r>
        <r>
          <rPr>
            <sz val="9"/>
            <color indexed="81"/>
            <rFont val="Tahoma"/>
            <family val="2"/>
          </rPr>
          <t xml:space="preserve">
Determina el nivel de satisfacción de las entidades donde se desarrollan las prácticas empresariales, a través de las encuestas de satisfacción que se realizan durante el semestre.
SE MODIFICA NOMBRE DEL INDICADOR ANTES:
Nivel de Satisfacción de las entidades sobre calidad y pertinencia de las prácticas empresariales</t>
        </r>
      </text>
    </comment>
    <comment ref="E159" authorId="1" shapeId="0">
      <text>
        <r>
          <rPr>
            <b/>
            <sz val="9"/>
            <color indexed="81"/>
            <rFont val="Tahoma"/>
            <family val="2"/>
          </rPr>
          <t>Gloria A. Sanchez M.:</t>
        </r>
        <r>
          <rPr>
            <sz val="9"/>
            <color indexed="81"/>
            <rFont val="Tahoma"/>
            <family val="2"/>
          </rPr>
          <t xml:space="preserve">
Durante el primer semestre de 2022, registraron la práctica 366 estudiantes, 9 de ellos cancelaron el semestre y 18 de ellos perdieron la asignatura de prácticas. De los 357 estudiantes registrados para aplicar sus prácticas, 226 las finalizaron en las empresas con quienes se tienen convenios y/o acuerdos de voluntades vigentes, obteniendo una calificación empresarial total de 1016,54 puntos para un resultado promedio en la seccional del 4.49%.
Las calificaciones se desagregaron así: 77 estudiantes fueron evaluados por las empresas con calificación de 5.0; 146 de ellos en el intervalo de calificación entre 4.0 y 4.9 y solo 3 de ellos registraron una calificación empresarial entre 3.9 y 3.0; se destaca en las evaluaciones el buen comportamiento en los aspectos de: puntualidad, Planificación y Organización del Trabajo, relaciones interpersonales, cumplimiento de los compromisos establecidos y logro del objetivo definido para la práctica.
Hay en la población general de practicantes, 15 estudiantes de práctica social primer nivel del programa Trabajo Social en proceso de ejecución de prácticas; 68 de práctica social del programa de Administración de Empresas los cuales participan de un modelo de Hábitos Empresariales; a la fecha hay 50 certificados en proceso de validación por firma de los empresarios al ser recibidos en forma virtual sin firma digital.
Es importante tener en cuenta que la Universidad sigue realizando convenios con instituciones y/o sitios diferentes a la ciudad de origen ?Pereira- y que corresponden a los ubicaciones de vivienda de los estudiantes practicantes que logran incorporarse a sus regiones para hacer inmersión en el campo laboral a partir del desarrollo de sus prácticas universitarias; en el primer semestre del año 2022 contabamos con 11 convenios de los cuales 34 corresponden al sector público y 87 al sector privado.
366 ESTUDIANTES INSCRIBIERON SUS PRACTICAS EN EL PERIODO 2022-1
No. de practicantes Facultad de ingenierías: 143 (70 en práctica empresarial y 73 en práctica social)
No. de practicantes Facultad de Ciencias Económicas, administrativas y contables: 101
No. de practicantes Facultad de Ciencias de la Salud: 92
No. de practicantes Facultad de Derecho (Trabajo Social): 30
</t>
        </r>
      </text>
    </comment>
    <comment ref="K159" authorId="1" shapeId="0">
      <text>
        <r>
          <rPr>
            <b/>
            <sz val="9"/>
            <color indexed="81"/>
            <rFont val="Tahoma"/>
            <family val="2"/>
          </rPr>
          <t>Gloria A. Sanchez M.:</t>
        </r>
        <r>
          <rPr>
            <sz val="9"/>
            <color indexed="81"/>
            <rFont val="Tahoma"/>
            <family val="2"/>
          </rPr>
          <t xml:space="preserve">
De los 366 estudiantes finales para desarrollar sus prácticas, 226 las finalizaron en las empresas con quienes se tienen convenios y/o acuerdos de voluntades vigentes, obteniendo una calificación empresarial total de 1.016,54 puntos para un resultado promedio en la seccional del 4.5%, discriminados de la siguiente manera:
366 ESTUDIANTES INSCRIBIERON SUS PRACTICAS EN EL PERIODO 2022-1 No. de practicantes Facultad de ingenierías: 143 (70 en práctica empresarial y 73 en práctica social) No. de practicantes Facultad de Ciencias Económicas, administrativas y contables: 101 No. de practicantes Facultad de Ciencias de la Salud: 92 No. de practicantes Facultad de Derecho (Trabajo Social): 30
INFORME GENERAL - PRACTICAS 2022-1.xlsx
De los 367 estudiantes finales para desarrollar sus prácticas, 282 las finalizaron en las empresas con quienes se tienen convenios y/o acuerdos de voluntades vigentes, obteniendo una calificación empresarial total de 1.332,3 puntos para un resultado promedio en la seccional del 4.72%, discriminados de la siguiente manera:  367 ESTUDIANTES INSCRIBIERON SUS PRACTICAS EN EL PERIODO 2022-2 No. de practicantes Facultad de ingenierías: 177 (82 en práctica empresarial y 95 en práctica social) No. de practicantes Facultad de Ciencias Económicas, administrativas y contables: 81 No. de practicantes Facultad de Ciencias de la Salud: 87 No. de practicantes Facultad de Derecho (Trabajo Social): 22
RESUMEN INFO EVIDENCIAS INDICADOR ID 364 - KAWAK 2022-2.xlsx
</t>
        </r>
      </text>
    </comment>
    <comment ref="D160" authorId="1" shapeId="0">
      <text>
        <r>
          <rPr>
            <b/>
            <sz val="9"/>
            <color indexed="81"/>
            <rFont val="Tahoma"/>
            <family val="2"/>
          </rPr>
          <t>Gloria A. Sanchez M.:</t>
        </r>
        <r>
          <rPr>
            <sz val="9"/>
            <color indexed="81"/>
            <rFont val="Tahoma"/>
            <family val="2"/>
          </rPr>
          <t xml:space="preserve">
Determinar la eficiencia en la asignación de prácticas empresariales según el número de estudiantes que realizaron las solicitudes durante el semestre.
NOTA: SOLO APLICA PARA CIENCIAS EONÓMICAS Y CONTABLES E INGENIERÍAS.</t>
        </r>
      </text>
    </comment>
    <comment ref="E160" authorId="1" shapeId="0">
      <text>
        <r>
          <rPr>
            <b/>
            <sz val="9"/>
            <color indexed="81"/>
            <rFont val="Tahoma"/>
            <family val="2"/>
          </rPr>
          <t>Gloria A. Sanchez M.:</t>
        </r>
        <r>
          <rPr>
            <sz val="9"/>
            <color indexed="81"/>
            <rFont val="Tahoma"/>
            <family val="2"/>
          </rPr>
          <t xml:space="preserve">
Durante el primer semestre del año 2022, el total de solicitudes para asignación de prácticas fue de 244 y el número de prácticas asignadas fue de 243 equivalente al 99,59%; el estudiante faltante, obedece a que desde la oficina de Consultorio empresarial - Prácticas CEIDEUL, se le asignó la práctica pero no se presentó sin ninguna justificación.
La distribución por programa de estudiantes practicantes, es:
Administración de empresas: 39 prácticas asignadas (100%)
Contaduría Pública: 23 prácticas asignadas (95,83%)
Economía: 38 prácticas asignadas (100%)
Ingeniería Civil: 112 prácticas asignadas (100%)
Ingeniería Comercial: 24 prácticas asignadas (100%)
Ingeniería Sistemas: 6 prácticas asignadas (100%)
Ingeniería Financiera: 1 prácticas asignadas (100%)
Para este semestre, se contó con 121 centros de prácticas, de los cuales 34 correspondieron al sector público equivalente al 28.1% y 87 al sector privado equivalente al 71,9%</t>
        </r>
      </text>
    </comment>
    <comment ref="K160" authorId="1" shapeId="0">
      <text>
        <r>
          <rPr>
            <b/>
            <sz val="9"/>
            <color indexed="81"/>
            <rFont val="Tahoma"/>
            <family val="2"/>
          </rPr>
          <t>Gloria A. Sanchez M.:</t>
        </r>
        <r>
          <rPr>
            <sz val="9"/>
            <color indexed="81"/>
            <rFont val="Tahoma"/>
            <family val="2"/>
          </rPr>
          <t xml:space="preserve">
Durante el segundo semestre del año 2022, el total de solicitudes para asignación de prácticas fue de 367 y el número de prácticas asignadas fue de 365 equivalente al 99,45%; dos estudiantes faltantes, obedecen a que desde la oficina de Consultorio empresarial - Prácticas CEIDEUL, se le asignó la práctica pero no se presentaron a los sitios de práctica sin ninguna justificación.
La distribución de estudiantes practicantes por programa es:
Administración de empresas: 42 prácticas asignadas (100%)
Contaduría Pública: 20 prácticas asignadas (100%)
Economía: 18 prácticas asignadas (94.73%)
Ingeniería Civil: 124 prácticas asignadas (100%)
Ingeniería Comercial: 26 prácticas asignadas (100%)
Ingeniería Sistemas: 4 prácticas asignadas (80%)
Ingeniería Financiera: 22 prácticas asignadas (100%)
Para este semestre, se contó con 143 centros de prácticas, de los cuales 46 correspondieron al sector público equivalente al 32.2% y 97 al sector privado equivalente al 67.8%</t>
        </r>
      </text>
    </comment>
    <comment ref="E161" authorId="1" shapeId="0">
      <text>
        <r>
          <rPr>
            <b/>
            <sz val="9"/>
            <color indexed="81"/>
            <rFont val="Tahoma"/>
            <family val="2"/>
          </rPr>
          <t>Gloria A. Sanchez M.:</t>
        </r>
        <r>
          <rPr>
            <sz val="9"/>
            <color indexed="81"/>
            <rFont val="Tahoma"/>
            <family val="2"/>
          </rPr>
          <t xml:space="preserve">
De acuerdo con el número de convenios institucionales del semestre 2022-1, logramos contar con la participación de 121 sitios específicos descritos de la siguiente manera:
En el sector público 34 convenios realizados con instituciones como gobernaciones, alcaldías, hospitales, personerías, contralorías, DIAN e instituciones educativas.
En el sector privado 87 convenios realizados con empresarios en general (comercio, industria, servicios, construcción), emprendedores, fundaciones, corporaciones, asociaciones sectoriales, gremios de la producción y el sistema financiero.
Haciendo un seguimiento puntual a los listados de chequeo de los 26 grupos de prácticas y al acompañamiento en sitio o virtual por parte de 14 docentes asignados para los 26 grupos, encontramos un porcentaje de cumplimiento cercano al 72% al lograr atender en 87 visitas alrededor de 172 estudiantes de los 226 certificados puntualmente con el formato F06 de cumplimiento de las prácticas por parte de los empresarios. La población pendiente de verificación de las certificaciones (empresarios) y estudiantes se esta realizando vía telefónica para confirmar algunos certificados de cumplimiento de prácticas recibidos en forma virtual y sin firma por parte las empresas.
Plan de Trabajo PS 2022-1.xlsx</t>
        </r>
      </text>
    </comment>
    <comment ref="K161" authorId="1" shapeId="0">
      <text>
        <r>
          <rPr>
            <b/>
            <sz val="9"/>
            <color indexed="81"/>
            <rFont val="Tahoma"/>
            <family val="2"/>
          </rPr>
          <t>Gloria A. Sanchez M.:</t>
        </r>
        <r>
          <rPr>
            <sz val="9"/>
            <color indexed="81"/>
            <rFont val="Tahoma"/>
            <family val="2"/>
          </rPr>
          <t xml:space="preserve">
De acuerdo con el número de convenios institucionales del semestre 2022-2, logramos contar con la participación de 143 sitios de práctica, aclarando que desde el sector público, las secretarias de despacho así como los institutos descentralizados se contabilizan por unidad de acuerdo con la ubicación de los estudiantes practicantes y en forma específica descritos de la siguiente manera:
En el sector público, 46 convenios realizados con instituciones como gobernaciones, alcaldías, hospitales, personerías, contralorías, DIAN e instituciones educativas.
En el sector privado, 97 convenios realizados con empresarios en general (comercio, industria, servicios, construcción), emprendedores, fundaciones, corporaciones, asociaciones sectoriales, gremios de la producción y el sistema financiero.
Haciendo un seguimiento puntual a los listados de chequeo de los 20 grupos de prácticas y al acompañamiento de los docentes asignados a prácticas, el seguimiento se hizo de tres formas diferentes: en el sitio de prácticas (empresa/institución), mediante comunicaciones telefónicas o de manera virtual. Según la verificación, encontramos un porcentaje de cumplimiento cercano al 82% al lograr atender en 117 visitas alrededor de 323 estudiantes de los 367 que podrían estar certificados puntualmente con el formato F06 de cumplimiento de las prácticas por parte de los empresarios.
La población pendiente de verificación de las certificaciones (empresarios) se esta realizando mediante verificación de la información recibida vía e-mail, en pocos casos física, para confirmar no solo el seguimiento de los docentes sino también algunos certificados de cumplimiento de prácticas aportados por los estudiantes.
</t>
        </r>
      </text>
    </comment>
    <comment ref="E162" authorId="1" shapeId="0">
      <text>
        <r>
          <rPr>
            <b/>
            <sz val="9"/>
            <color indexed="81"/>
            <rFont val="Tahoma"/>
            <family val="2"/>
          </rPr>
          <t>Gloria A. Sanchez M.:</t>
        </r>
        <r>
          <rPr>
            <sz val="9"/>
            <color indexed="81"/>
            <rFont val="Tahoma"/>
            <family val="2"/>
          </rPr>
          <t xml:space="preserve">
En el año lectivo 2022 se recepcionaron 600 solicitudes de conciliación, de las cuales 348 llegaron a acuerdo conciliatorio lo que significa un porcentaje del 58% superando la meta en un 8%.
Entre los 252 casos en los que no hubo acuerdo conciliatorio, 98 corresponden a NO ACUERDO, siendo el restante distribuidos entre inasistencias, desistimientos y pendientes por realizar audiencia en el mes de enero 2023.</t>
        </r>
      </text>
    </comment>
    <comment ref="E163" authorId="1" shapeId="0">
      <text>
        <r>
          <rPr>
            <b/>
            <sz val="9"/>
            <color indexed="81"/>
            <rFont val="Tahoma"/>
            <family val="2"/>
          </rPr>
          <t>Gloria A. Sanchez M.:</t>
        </r>
        <r>
          <rPr>
            <sz val="9"/>
            <color indexed="81"/>
            <rFont val="Tahoma"/>
            <family val="2"/>
          </rPr>
          <t xml:space="preserve">
En primer semestre del año 2022 se programaron 43 eventos entre las 4 Facultades y se logro la ejecución de 42 eventos en su totalidad, con un porcentaje de cumplimiento del 97,7%, con una población impactada de 3.483 personas entre estudiantes, docentes, egresados y público en general. Las modalidades de la oferta en forma solidaria y pecuniaria han sido presenciales y asistidas por la TIC.</t>
        </r>
      </text>
    </comment>
    <comment ref="K163" authorId="1" shapeId="0">
      <text>
        <r>
          <rPr>
            <b/>
            <sz val="9"/>
            <color indexed="81"/>
            <rFont val="Tahoma"/>
            <family val="2"/>
          </rPr>
          <t>Gloria A. Sanchez M.:</t>
        </r>
        <r>
          <rPr>
            <sz val="9"/>
            <color indexed="81"/>
            <rFont val="Tahoma"/>
            <family val="2"/>
          </rPr>
          <t xml:space="preserve">
En el segundo semestre del año 2022 se programaron 50 eventos entre las 4 Facultades y se logro la ejecución de 46 eventos en su totalidad (Diplomados 2; cursos 2; talleres 2; seminarios, simposios y/o congresos 21 y otros 19), con un porcentaje de cumplimiento del 92%, con una población impactada de 6.185 personas entre estudiantes, docentes, egresados y público en general. Las modalidades de la oferta en forma solidaria y pecuniaria han sido presenciales y asistidas por las TIC.</t>
        </r>
      </text>
    </comment>
    <comment ref="E164" authorId="1" shapeId="0">
      <text>
        <r>
          <rPr>
            <b/>
            <sz val="9"/>
            <color indexed="81"/>
            <rFont val="Tahoma"/>
            <family val="2"/>
          </rPr>
          <t>Gloria A. Sanchez M.:</t>
        </r>
        <r>
          <rPr>
            <sz val="9"/>
            <color indexed="81"/>
            <rFont val="Tahoma"/>
            <family val="2"/>
          </rPr>
          <t xml:space="preserve">
Durante el primer semestre del 2022, el número total de casos atendidos por el centro de conciliación fue de 325 frente a 350 casos proyectados o esperados. Del total de casos atendidos 39 corresponden a solicitudes remitidas por el ICBF como resultado de una brigada realizada con ellos logrando contribuir a descongestionar el Instituto. Las demás correponden a las solicitudes realizadas por los estudiantes practicantes, cumpliendose la meta en un 92,86%</t>
        </r>
      </text>
    </comment>
    <comment ref="K164" authorId="1" shapeId="0">
      <text>
        <r>
          <rPr>
            <b/>
            <sz val="9"/>
            <color indexed="81"/>
            <rFont val="Tahoma"/>
            <family val="2"/>
          </rPr>
          <t>Gloria A. Sanchez M.:</t>
        </r>
        <r>
          <rPr>
            <sz val="9"/>
            <color indexed="81"/>
            <rFont val="Tahoma"/>
            <family val="2"/>
          </rPr>
          <t xml:space="preserve">
De Julio a Diciembre de 2022 se atendieron 275 casos de los 200 que se tenían proyecados. De la anterior cifra, 42 corresponden a solicitudes remitidas por el ICBF resultado de 3 jornadas masivas de conciliación organizadas por el Centro de Conciliación, con la finalidad de contribuir a descongestionar dicha institución. Superando la meta en un 137.50%
</t>
        </r>
      </text>
    </comment>
    <comment ref="E165" authorId="1" shapeId="0">
      <text>
        <r>
          <rPr>
            <b/>
            <sz val="9"/>
            <color indexed="81"/>
            <rFont val="Tahoma"/>
            <family val="2"/>
          </rPr>
          <t>Gloria A. Sanchez M.:</t>
        </r>
        <r>
          <rPr>
            <sz val="9"/>
            <color indexed="81"/>
            <rFont val="Tahoma"/>
            <family val="2"/>
          </rPr>
          <t xml:space="preserve">
En el primer semestre se presentaron 2 solicitudes a través de las PQRSD registradas en Kawak para el Consultorio Jurídico y Centro de Conciliación, las cuales se respondieron oportunamente a los usuarios dando la orientación requerida.</t>
        </r>
      </text>
    </comment>
    <comment ref="K165" authorId="1" shapeId="0">
      <text>
        <r>
          <rPr>
            <b/>
            <sz val="9"/>
            <color indexed="81"/>
            <rFont val="Tahoma"/>
            <family val="2"/>
          </rPr>
          <t>Gloria A. Sanchez M.:</t>
        </r>
        <r>
          <rPr>
            <sz val="9"/>
            <color indexed="81"/>
            <rFont val="Tahoma"/>
            <family val="2"/>
          </rPr>
          <t xml:space="preserve">
En el segundo semestre se presentaron 4 solicitudes a través de las PQRSD registradas en Kawak para el Consultorio Jurídico y Centro de Conciliación, las cuales se respondieron oportunamente a los usuarios dando la orientación requerida</t>
        </r>
      </text>
    </comment>
    <comment ref="E166" authorId="1" shapeId="0">
      <text>
        <r>
          <rPr>
            <b/>
            <sz val="9"/>
            <color indexed="81"/>
            <rFont val="Tahoma"/>
            <family val="2"/>
          </rPr>
          <t>Gloria A. Sanchez M.:</t>
        </r>
        <r>
          <rPr>
            <sz val="9"/>
            <color indexed="81"/>
            <rFont val="Tahoma"/>
            <family val="2"/>
          </rPr>
          <t xml:space="preserve">
Durante el primer semestre de 2022, 204 usuarios calificaron el servicio con un porcentaje de satisfacción del 95,10% de lo cuales 194 fueron evaluaciones entre excelente y bueno, 10 estuvieron entre regular y malo. Es importante aclarar que el total de solicitudes atendidas en el primer semestre del año en el Centro de Conciliación del Consultorio Jurídico fue de 325 usuarios; dichas calificaciones del servicio corresponden tanto al Consultorio Jurídico como al Centro de Conciliación. Las observaciones que los usuarios describen en las calificaciones fueron socializadas con los estudiantes-practicantes y docentes para su retroalimentación.
</t>
        </r>
      </text>
    </comment>
    <comment ref="K166" authorId="1" shapeId="0">
      <text>
        <r>
          <rPr>
            <b/>
            <sz val="9"/>
            <color indexed="81"/>
            <rFont val="Tahoma"/>
            <family val="2"/>
          </rPr>
          <t>Gloria A. Sanchez M.:</t>
        </r>
        <r>
          <rPr>
            <sz val="9"/>
            <color indexed="81"/>
            <rFont val="Tahoma"/>
            <family val="2"/>
          </rPr>
          <t xml:space="preserve">
Durante el segundo semestre de 2022, 206 usuarios calificaron el servicio con un porcentaje de satisfacción del 93,69% de lo cuales 193 fueron evaluaciones entre excelente y bueno, 13 estuvieron entre regular y malo.
Es necesario resaltar que las calificaciones del servicio corresponden tanto al Consultorio Jurídico como Centro de Conciliación. Las observaciones que los usuarios describen en las calificaciones fueron socializadas con los estudiantes-practicantes y docentes para su retroalimentación.</t>
        </r>
      </text>
    </comment>
    <comment ref="E167" authorId="1" shapeId="0">
      <text>
        <r>
          <rPr>
            <b/>
            <sz val="9"/>
            <color indexed="81"/>
            <rFont val="Tahoma"/>
            <family val="2"/>
          </rPr>
          <t>Gloria A. Sanchez M.:</t>
        </r>
        <r>
          <rPr>
            <sz val="9"/>
            <color indexed="81"/>
            <rFont val="Tahoma"/>
            <family val="2"/>
          </rPr>
          <t xml:space="preserve">
Para el primer semestre del 2022, se programaron y realizaron 4 brigadas sociojuridicas.
1. AMCOVE-municipio de Santa Rosa de Cabal, donde se brindó asistencia jurídica a los migrantes venezolanos,asistieron un total de 68 usuarios.
2. AMCOVE-municipio de Dosquebradas, donde tambiés se brindó asistencia jurídica a los migrantes venezolanos, asistieron 100 personas.
3 y 4. Jornada Masiva de conciliación como apoyo a las solicitudes recibidas por el Instituto Colombiano de Bienestar Familiar, en total se recibieron 39 solicitudes de conciliación, audiencias que se realizaron los días 26, 27 de mayo, 2 y 3 de junio.</t>
        </r>
      </text>
    </comment>
    <comment ref="K167" authorId="1" shapeId="0">
      <text>
        <r>
          <rPr>
            <b/>
            <sz val="9"/>
            <color indexed="81"/>
            <rFont val="Tahoma"/>
            <family val="2"/>
          </rPr>
          <t>Gloria A. Sanchez M.:</t>
        </r>
        <r>
          <rPr>
            <sz val="9"/>
            <color indexed="81"/>
            <rFont val="Tahoma"/>
            <family val="2"/>
          </rPr>
          <t xml:space="preserve">
En el segundo semestre del año 2022 se realizaron 8 brigadas y 3 jornadas masivas de conciliación discriminadas de la siguiente manera;
1. Municipio de Dosquebradas en donde se atendieron 13 personas.
2. AMCOVE con una atención de 5 usuarios
3. Municipio de Quinchia; 18 personas.
4. Barrio El Dorado-Pereira se recepcionaron 5 asesorias.
5. Municipio de Mistrato se atendieron 40 personas.
6. Barrio Remanso-Pereira 5 usuarios atendidos
7. Escuela La Palabra-Pereira 10 asesorias realizadas.
8. Municipio Anserma Nuevo con apoyo del Ingenio Risaralda, 11 casos atendidos.
9. Recepción de 44 solicitudes de conciliación por parte de Bienestar Familiar, los días 16 de agosto, 8 de septiembre y 30 de noviembre de 2022.</t>
        </r>
      </text>
    </comment>
    <comment ref="E168" authorId="1" shapeId="0">
      <text>
        <r>
          <rPr>
            <b/>
            <sz val="9"/>
            <color indexed="81"/>
            <rFont val="Tahoma"/>
            <family val="2"/>
          </rPr>
          <t>Gloria A. Sanchez M.:</t>
        </r>
        <r>
          <rPr>
            <sz val="9"/>
            <color indexed="81"/>
            <rFont val="Tahoma"/>
            <family val="2"/>
          </rPr>
          <t xml:space="preserve">
La eficacia del SGC en la Seccional Pereira durante el año 2022 fue del 90,67%,  El cumplimiento de los objetivos de calidad para el año 2022 fue en promedio del 92,00% (2022-1: 91,72%  y para el segundo semestre de 2022 se logró un resultado del 92,70%) ;  la ponderación que se dió para el primer objetivo de calidad  fue de 60% para encuesta (81,00% de cumplimiento), 20% quejas (2022-1: 100%  y 2022-2 100%%)  y 20% para calificaciones del servicio (2022-1: 97,28%  y 2022-2:  96,94%).  Para el objetivo 2 de acuerdos de servicio, la ponderación fue del 30% (2022-1: 88,89%  y 2022-2 96,94%) y el objtivo 3 indicadores de eficacia la ponderación fue del 30% (2022-1: 93,57%  y 2022-2: 94,83%). Comparativo resultados de eficacia del SGC de los períodos comprendidos entre el  2006-1 hasta el 2022:
2006-2   2007-1    2007-2      2008-1     2008-2        2009-1      2010-1     2010-2      2011-1     2011-2     2012-1      2012-2    2013-1      2013-2   2014-1      2014-2                 
  46%          50%          68%         73%              71%               74,6%        58%        74%              2,6%        2,6%        2,2%         2,3%         2,4%          2,4%       2,4%          2,3%
2015-1      2015-2    2016-1         2016-2     2017-1     2017-2     2018-1      2018-2   2019-1     2019-2       2020-1      2020-2     2021-1      2021-2          2022-1      2022-2
 2,4%          2,3%        2,2%            3%             92%          86%          86%         89%        86,77%     91,11%        84,93%      90,70%     89,96%    87,84%            89,96%     92,72%</t>
        </r>
      </text>
    </comment>
  </commentList>
</comments>
</file>

<file path=xl/comments2.xml><?xml version="1.0" encoding="utf-8"?>
<comments xmlns="http://schemas.openxmlformats.org/spreadsheetml/2006/main">
  <authors>
    <author>Gloria Amparo Sanchez</author>
    <author>Gloria A. Sanchez M.</author>
    <author>Gloria A</author>
    <author>Docente</author>
  </authors>
  <commentList>
    <comment ref="D8" authorId="0" shapeId="0">
      <text>
        <r>
          <rPr>
            <b/>
            <sz val="12"/>
            <color indexed="81"/>
            <rFont val="Tahoma"/>
            <family val="2"/>
          </rPr>
          <t>Gloria Amparo Sanchez:</t>
        </r>
        <r>
          <rPr>
            <sz val="12"/>
            <color indexed="81"/>
            <rFont val="Tahoma"/>
            <family val="2"/>
          </rPr>
          <t xml:space="preserve">
Monitorear el cumplimiento del acuerdo de servicio de elaboración y entrega oportuna de las certificaciones y constancias Académicas</t>
        </r>
      </text>
    </comment>
    <comment ref="E8" authorId="1" shapeId="0">
      <text>
        <r>
          <rPr>
            <b/>
            <sz val="12"/>
            <color indexed="81"/>
            <rFont val="Tahoma"/>
            <family val="2"/>
          </rPr>
          <t>Gloria A. Sanchez M.:</t>
        </r>
        <r>
          <rPr>
            <sz val="12"/>
            <color indexed="81"/>
            <rFont val="Tahoma"/>
            <family val="2"/>
          </rPr>
          <t xml:space="preserve">
Para el período 2022-1 se generaron 1481 certificados, de los cuales se entregaron dentro de los plazos establecidos 1476, se cumplió con la meta, obteniendo un resultado seccional del 99.66%. Los 5 que no fueron generados dentro de los plazos, corresponden a certificados de rotaciones de práctica, en donde la información a certificar es enviada por parte de la facultad de Ciencias de Salud Exactas y Naturales.
Es importante aclarar que este tipo de certificados se solicitan a la facultad toda vez que este no lo genera el sistema y una vez ellos envían la información de rotación del estudiante solicitante, y la jefe de admisiones y registro procede a su firma.
Adicional a lo anterior se precisa que desde el año 2020 por instrucción nacional todos los certificados académicos que antes eran firmados por el secretario académico respectivo ya sn firmados por la jefe de admisiones y registro</t>
        </r>
      </text>
    </comment>
    <comment ref="K8" authorId="1" shapeId="0">
      <text>
        <r>
          <rPr>
            <b/>
            <sz val="9"/>
            <color indexed="81"/>
            <rFont val="Tahoma"/>
            <family val="2"/>
          </rPr>
          <t>Gloria A. Sanchez M.:</t>
        </r>
        <r>
          <rPr>
            <sz val="9"/>
            <color indexed="81"/>
            <rFont val="Tahoma"/>
            <family val="2"/>
          </rPr>
          <t xml:space="preserve">
Para el período 2022-2, se cumple la meta nacional, obteniéndose un resultado en la seccional del 99,25%, Se generaron 1072 certificados, de los cuales se entregaron dentro de los plazos establecidos 1064, se cumplió con la meta, aquellos que no fueron generados dentro de los plazos, corresponden a certificados de rotaciones de práctica y plan de estudio con intensidad horaria total, en donde la información a certificar es enviada por parte de la facultad de ciencias de salud.</t>
        </r>
      </text>
    </comment>
    <comment ref="D9" authorId="0" shapeId="0">
      <text>
        <r>
          <rPr>
            <b/>
            <sz val="12"/>
            <color indexed="81"/>
            <rFont val="Tahoma"/>
            <family val="2"/>
          </rPr>
          <t>Gloria Amparo Sanchez:</t>
        </r>
        <r>
          <rPr>
            <sz val="12"/>
            <color indexed="81"/>
            <rFont val="Tahoma"/>
            <family val="2"/>
          </rPr>
          <t xml:space="preserve">
Monitorear el cumplimiento del acuerdo de servicio de elaboración y entrega oportuna de las Certificaciones Académicas, ampliando su alcance al control del la confiabilidad de la información de los mismos, con el fin de establecer desviaciones y analizar las causas ya sea de sistema o errores en la información ingresada.</t>
        </r>
      </text>
    </comment>
    <comment ref="E9" authorId="1" shapeId="0">
      <text>
        <r>
          <rPr>
            <b/>
            <sz val="9"/>
            <color indexed="81"/>
            <rFont val="Tahoma"/>
            <family val="2"/>
          </rPr>
          <t>Gloria A. Sanchez M.:</t>
        </r>
        <r>
          <rPr>
            <sz val="9"/>
            <color indexed="81"/>
            <rFont val="Tahoma"/>
            <family val="2"/>
          </rPr>
          <t xml:space="preserve">
PRIMER SEMESTRE: Se cumplió la meta del 90%, lográndose un 97,18% en la Seccional, del total de los 248 docentes del primer periodo de 2022, 241 digitaron las las notas dentro de los plazos establecidos en el calendario académico.
La Facultad de Derecho presento un total de 7 docentes que no digitaron sus notas en los términos de calendario académico, las demás facultades (ciencias de la salud naturales y exactas, facultad de ingenieras y facultades de ciencias económicas administrativas y contables) cumplieron con el 100% de registro de notas oportunamente durante el periodo 2022-1. Los docentes que no digitan sus notas en los términos son reportados mediante oficio a las Decanaturas y Jefatura de personal para que se tomen las acciones correctivas pertinentes mediante listado de morosos
Otra estrategia que se implemento desde el proceso, es enviar correos electrónicos a las decanaturas, secretarios académicos previo al cierre de cada corte como alerta para minimizar la extemporaneidad de los docentes</t>
        </r>
      </text>
    </comment>
    <comment ref="K9" authorId="1" shapeId="0">
      <text>
        <r>
          <rPr>
            <b/>
            <sz val="9"/>
            <color indexed="81"/>
            <rFont val="Tahoma"/>
            <family val="2"/>
          </rPr>
          <t>Gloria A. Sanchez M.:</t>
        </r>
        <r>
          <rPr>
            <sz val="9"/>
            <color indexed="81"/>
            <rFont val="Tahoma"/>
            <family val="2"/>
          </rPr>
          <t xml:space="preserve">
EGUNDO SEMESTRE: Se cumplió la meta del 90%, lográndose un 97,67% en la Seccional, del total de los 258 docentes del primer periodo de 2022, 252 digitaron las las notas dentro de los plazos establecidos en el calendario académico.
La Facultad de Derecho ciencias políticas y sociales presento un total de 2 docentes que no digitaron sus notas en los términos de calendario académico, la facultad de ingenieras no presento reporte de morosos, la facultad de ciencias económicas administrativas y contables presento tres docentes morosos y la facultad de ciencias de la salud naturales y exactas presento un docente moroso durante el periodo 2022-2. Los docentes que no digitan sus notas en los términos son reportados mediante oficio a las Decanaturas y Jefatura de personal para que se tomen las acciones correctivas pertinentes mediante listado de morosos.
Otra estrategia que se implemento desde el proceso, es enviar correos electrónicos a las decanaturas, secretarios académicos previo al cierre de cada corte como alerta para minimizar la extemporaneidad de los docentes</t>
        </r>
      </text>
    </comment>
    <comment ref="D10" authorId="0" shapeId="0">
      <text>
        <r>
          <rPr>
            <b/>
            <sz val="12"/>
            <color indexed="81"/>
            <rFont val="Tahoma"/>
            <family val="2"/>
          </rPr>
          <t>Gloria Amparo Sanchez:</t>
        </r>
        <r>
          <rPr>
            <sz val="12"/>
            <color indexed="81"/>
            <rFont val="Tahoma"/>
            <family val="2"/>
          </rPr>
          <t xml:space="preserve">
Monitorear el cumplimiento del acuerdo de servicio de elaboración y entrega oportuna de las Certificaciones Académicas, ampliando su alcance al control del la confiabilidad de la información de los mismos, con el fin de establecer desviaciones y analizar las causas ya sea de sistema o errores en la información ingresada.</t>
        </r>
      </text>
    </comment>
    <comment ref="E10" authorId="1" shapeId="0">
      <text>
        <r>
          <rPr>
            <b/>
            <sz val="12"/>
            <color indexed="81"/>
            <rFont val="Tahoma"/>
            <family val="2"/>
          </rPr>
          <t>Gloria A. Sanchez M.:</t>
        </r>
        <r>
          <rPr>
            <sz val="12"/>
            <color indexed="81"/>
            <rFont val="Tahoma"/>
            <family val="2"/>
          </rPr>
          <t xml:space="preserve">
Para el período 2022-1 se generaron un total de 1481 certificados, de los cuales 6 fueron reprocesados, cumpliendo así la meta, obteniendo un resultado de la seccional de 99.59%. Esto debido a cambio de documento, en otros casos información personal errónea como lugar de expedición del documento. Como acciones preventivas para mitigar lo anterior, el auxiliar antes de generar los certificados verifica si el estudiante ya es mayor de edad y procede a solicitud fotocopia de su documento de identidad para hacer el cambio en el sistema académico de TI a CC, contribuyendo así a tener actualizada la información de los estudiantes y evitar reprocesos
</t>
        </r>
      </text>
    </comment>
    <comment ref="K10" authorId="1" shapeId="0">
      <text>
        <r>
          <rPr>
            <b/>
            <sz val="9"/>
            <color indexed="81"/>
            <rFont val="Tahoma"/>
            <family val="2"/>
          </rPr>
          <t>Gloria A. Sanchez M.:</t>
        </r>
        <r>
          <rPr>
            <sz val="9"/>
            <color indexed="81"/>
            <rFont val="Tahoma"/>
            <family val="2"/>
          </rPr>
          <t xml:space="preserve">
Para el período 2022-2, se cumple con la meta nacional, obteniéndose un resultado en la seccional del 99,44%. Se generaron un total de 1072 certificados, de los cuales 6 fueron reprocesados, cumpliendo así la meta. Esto debido a cambio de documento, en otros casos inconsistencias en notas y promedio, en donde se requería actualizar historias académicas.</t>
        </r>
      </text>
    </comment>
    <comment ref="D14" authorId="0" shapeId="0">
      <text>
        <r>
          <rPr>
            <b/>
            <sz val="9"/>
            <color indexed="81"/>
            <rFont val="Tahoma"/>
            <family val="2"/>
          </rPr>
          <t>Gloria Amparo Sanchez:</t>
        </r>
        <r>
          <rPr>
            <sz val="9"/>
            <color indexed="81"/>
            <rFont val="Tahoma"/>
            <family val="2"/>
          </rPr>
          <t xml:space="preserve">
Conocer el nivel de respuesta en el trámite de las solicitudes recibidas</t>
        </r>
      </text>
    </comment>
    <comment ref="E14" authorId="1" shapeId="0">
      <text>
        <r>
          <rPr>
            <b/>
            <sz val="9"/>
            <color indexed="81"/>
            <rFont val="Tahoma"/>
            <family val="2"/>
          </rPr>
          <t>Gloria A. Sanchez M.:</t>
        </r>
        <r>
          <rPr>
            <sz val="9"/>
            <color indexed="81"/>
            <rFont val="Tahoma"/>
            <family val="2"/>
          </rPr>
          <t xml:space="preserve">
PRIMER SEMESTRE: Se cumple con la meta estándar del 80% , obteniéndose un resultado en la seccional del 85,05%, de un total de 515 solicitudes en el periodo, 438 se atendieron en los tiempos establecidos según el acuerdo de servicio ,24 fueron canceladas por las áreas Académicas y administrativas y 53 corresponden a procesos de importación, que ha generado retrasos a nivel mundial por los contenedores, por efectos de la pandemia y otros inconvenientes, por lo anterior, se le comunica al área solicitante para que sean ellos quienes tomen la decisión si se continúa con el proceso o no por no cumplir con los 90 días establecidos en el acuerdo de servicio.</t>
        </r>
      </text>
    </comment>
    <comment ref="K14" authorId="1" shapeId="0">
      <text>
        <r>
          <rPr>
            <b/>
            <sz val="9"/>
            <color indexed="81"/>
            <rFont val="Tahoma"/>
            <family val="2"/>
          </rPr>
          <t>Gloria A. Sanchez M.:</t>
        </r>
        <r>
          <rPr>
            <sz val="9"/>
            <color indexed="81"/>
            <rFont val="Tahoma"/>
            <family val="2"/>
          </rPr>
          <t xml:space="preserve">
Se cumple con la meta del 80 % del estándar nacional un rango bueno de 81.56 % para un total de 423 solicitudes recibidas, de las cuales 345 fueron tramitadas en los tiempos establecidos, de donde 42 tuvieron retrasos por que son de importación y 36 fueron devueltas a las aéreas, ya que no se podían tramitar por falta de presupuesto del año 2022 , se les solicita nuevamente a las aéreas para que sean tramitadas en el 2023-1</t>
        </r>
      </text>
    </comment>
    <comment ref="E15" authorId="1" shapeId="0">
      <text>
        <r>
          <rPr>
            <b/>
            <sz val="12"/>
            <color indexed="81"/>
            <rFont val="Tahoma"/>
            <family val="2"/>
          </rPr>
          <t>Gloria A. Sanchez M.:</t>
        </r>
        <r>
          <rPr>
            <sz val="12"/>
            <color indexed="81"/>
            <rFont val="Tahoma"/>
            <family val="2"/>
          </rPr>
          <t xml:space="preserve">
Para el primer semestre de 2022 se superó la meta nacional del 80%, lográndose un resultado seccional del 97,67% de efectividad , el total de solicitudes radicadas en almacén fue de 258 y se atendieron oportunamente 252.
De las 6 solicitudes que no se entregaron a tiempo, se debe a la entrega parcial de pedidos que en el momento de ser solicitados, se encontraban en proceso de compra o entrega del suministro (por lo general fueron insumos de papelería y aseo, los cuales se debió hacer cambio en las compras por variación de los precios y/o no tener en existencia ya del producto por el problema de las importaciones en el país, se cancelaron algunas compras por el mismo motivo y se debió realizar de nuevo todo el proceso). Los faltantes en cada entrega, no generaron problemas en las unidades académicas o administrativas ya que se logró tener un pequeño stock para atenderlas, pero se distribuyó equitativamente entre las áreas solicitantes.</t>
        </r>
      </text>
    </comment>
    <comment ref="K15" authorId="1" shapeId="0">
      <text>
        <r>
          <rPr>
            <b/>
            <sz val="9"/>
            <color indexed="81"/>
            <rFont val="Tahoma"/>
            <family val="2"/>
          </rPr>
          <t>Gloria A. Sanchez M.:</t>
        </r>
        <r>
          <rPr>
            <sz val="9"/>
            <color indexed="81"/>
            <rFont val="Tahoma"/>
            <family val="2"/>
          </rPr>
          <t xml:space="preserve">
2022-2:  Se cumple la meta nacional que es mínimo 80%, obteniéndose un resultado seccional del 99,62%.  De un total de 260 solicitudes radicadas en almacén, se atendieron oportunamente 259. La no entrega a tiempo de una de las solicitudes, se debió a que el solicitante realizo con anticipación los insumos para Consejo Directivo, y se entregó en la fecha, por parte de almacén, de la realización del Consejo Directivo.</t>
        </r>
      </text>
    </comment>
    <comment ref="D16" authorId="0" shapeId="0">
      <text>
        <r>
          <rPr>
            <b/>
            <sz val="12"/>
            <color indexed="81"/>
            <rFont val="Tahoma"/>
            <family val="2"/>
          </rPr>
          <t>Gloria Amparo Sanchez:</t>
        </r>
        <r>
          <rPr>
            <sz val="12"/>
            <color indexed="81"/>
            <rFont val="Tahoma"/>
            <family val="2"/>
          </rPr>
          <t xml:space="preserve">
Evaluar el cumplimiento de las actividades planeadas por la auditoría Interna.</t>
        </r>
      </text>
    </comment>
    <comment ref="E16" authorId="1" shapeId="0">
      <text>
        <r>
          <rPr>
            <b/>
            <sz val="9"/>
            <color indexed="81"/>
            <rFont val="Tahoma"/>
            <family val="2"/>
          </rPr>
          <t>Gloria A. Sanchez M.:</t>
        </r>
        <r>
          <rPr>
            <sz val="9"/>
            <color indexed="81"/>
            <rFont val="Tahoma"/>
            <family val="2"/>
          </rPr>
          <t xml:space="preserve">
2022-1: De las 124 Auditorias Planeadas de Enero a Junio de 2022; se ejecutó el 100% de las auditorias del plan general de trabajo. Dando cumpliendo con la meta estándar nacional. Desde la auditoria se realiza plan de trabajo anual, donde el equipo auditor de acuerdo a su competencia realizan las auditorias: Academicas, Administrativa y Financiera. Controlando el seguimiento a traves de semaforizacion en dicho plan.
A nivel nacional se dio la instrucción en el año 2021 de realizar auditorias de control previo a: Pagos a proveedores, nomina, cheques, transfrencias; con el fin de ser un organismo preventivo que protege los intereses de la institución.</t>
        </r>
      </text>
    </comment>
    <comment ref="K16" authorId="1" shapeId="0">
      <text>
        <r>
          <rPr>
            <b/>
            <sz val="9"/>
            <color indexed="81"/>
            <rFont val="Tahoma"/>
            <family val="2"/>
          </rPr>
          <t>Gloria A. Sanchez M.:</t>
        </r>
        <r>
          <rPr>
            <sz val="9"/>
            <color indexed="81"/>
            <rFont val="Tahoma"/>
            <family val="2"/>
          </rPr>
          <t xml:space="preserve">
2022-2: De las 132 Auditorias Planeadas de Julio a Diciembre de 2022; se ejecutó el 100% de las auditorias del plan general de trabajo. Dando cumpliendo con la meta estándar nacional. Del plan de trabajo anual ejecutado por el equipo auditor se realizaron el total de las auditorias propuestas: Academicas, Administrativa y Financiera. Controlando el seguimiento a traves de semaforizacion en dicho plan.
</t>
        </r>
      </text>
    </comment>
    <comment ref="D17" authorId="0" shapeId="0">
      <text>
        <r>
          <rPr>
            <b/>
            <sz val="9"/>
            <color indexed="81"/>
            <rFont val="Tahoma"/>
            <family val="2"/>
          </rPr>
          <t>Gloria Amparo Sanchez:</t>
        </r>
        <r>
          <rPr>
            <sz val="9"/>
            <color indexed="81"/>
            <rFont val="Tahoma"/>
            <family val="2"/>
          </rPr>
          <t xml:space="preserve">
</t>
        </r>
        <r>
          <rPr>
            <sz val="12"/>
            <color indexed="81"/>
            <rFont val="Tahoma"/>
            <family val="2"/>
          </rPr>
          <t>RANGO:  65%-74%</t>
        </r>
      </text>
    </comment>
    <comment ref="E17" authorId="1" shapeId="0">
      <text>
        <r>
          <rPr>
            <b/>
            <sz val="9"/>
            <color indexed="81"/>
            <rFont val="Tahoma"/>
            <family val="2"/>
          </rPr>
          <t>Gloria A. Sanchez M.:</t>
        </r>
        <r>
          <rPr>
            <sz val="9"/>
            <color indexed="81"/>
            <rFont val="Tahoma"/>
            <family val="2"/>
          </rPr>
          <t xml:space="preserve">
Enero 2022: Se realizó control previo a 348 cuentas, con el 100% de cumplimiento</t>
        </r>
      </text>
    </comment>
    <comment ref="F17" authorId="1" shapeId="0">
      <text>
        <r>
          <rPr>
            <b/>
            <sz val="9"/>
            <color indexed="81"/>
            <rFont val="Tahoma"/>
            <family val="2"/>
          </rPr>
          <t>Gloria A. Sanchez M.:</t>
        </r>
        <r>
          <rPr>
            <sz val="9"/>
            <color indexed="81"/>
            <rFont val="Tahoma"/>
            <family val="2"/>
          </rPr>
          <t xml:space="preserve">
Febrero 2022: Se realizó control previo a 329 cuentas, con el 100% de cumplimiento</t>
        </r>
      </text>
    </comment>
    <comment ref="G17" authorId="1" shapeId="0">
      <text>
        <r>
          <rPr>
            <b/>
            <sz val="9"/>
            <color indexed="81"/>
            <rFont val="Tahoma"/>
            <family val="2"/>
          </rPr>
          <t>Gloria A. Sanchez M.:</t>
        </r>
        <r>
          <rPr>
            <sz val="9"/>
            <color indexed="81"/>
            <rFont val="Tahoma"/>
            <family val="2"/>
          </rPr>
          <t xml:space="preserve">
Marzo 2022: Se realizó control previo a 364 cuentas, con el 100% de cumplimiento
</t>
        </r>
      </text>
    </comment>
    <comment ref="H17" authorId="1" shapeId="0">
      <text>
        <r>
          <rPr>
            <b/>
            <sz val="9"/>
            <color indexed="81"/>
            <rFont val="Tahoma"/>
            <family val="2"/>
          </rPr>
          <t>Gloria A. Sanchez M.:</t>
        </r>
        <r>
          <rPr>
            <sz val="9"/>
            <color indexed="81"/>
            <rFont val="Tahoma"/>
            <family val="2"/>
          </rPr>
          <t xml:space="preserve">
Abril 2022: Se realizó control previo a 318 cuentas, con el 100% de cumplimiento</t>
        </r>
      </text>
    </comment>
    <comment ref="I17" authorId="1" shapeId="0">
      <text>
        <r>
          <rPr>
            <b/>
            <sz val="9"/>
            <color indexed="81"/>
            <rFont val="Tahoma"/>
            <family val="2"/>
          </rPr>
          <t>Gloria A. Sanchez M.:</t>
        </r>
        <r>
          <rPr>
            <sz val="9"/>
            <color indexed="81"/>
            <rFont val="Tahoma"/>
            <family val="2"/>
          </rPr>
          <t xml:space="preserve">
Mayo 2022: Se realizó control previo a 415 cuentas, con el 100% de cumplimiento. Evidenciando Inconsistencias recurrentes en la aplicación de impuestos, anexos de seguridad social no ajustadas a los contratos, causaciones con errores en el concepto, numero de factura o valor. Dichos hallazgos se socializaron con el lider proceso.</t>
        </r>
      </text>
    </comment>
    <comment ref="J17" authorId="1" shapeId="0">
      <text>
        <r>
          <rPr>
            <b/>
            <sz val="9"/>
            <color indexed="81"/>
            <rFont val="Tahoma"/>
            <family val="2"/>
          </rPr>
          <t>Gloria A. Sanchez M.:</t>
        </r>
        <r>
          <rPr>
            <sz val="9"/>
            <color indexed="81"/>
            <rFont val="Tahoma"/>
            <family val="2"/>
          </rPr>
          <t xml:space="preserve">
Junio 2022: Se realizó control previo a 396 cuentas, con el 100% de cumplimiento. Evidenciando Inconsistencias recurrentes en la aplicación de impuestos, anexos de seguridad social no ajustadas a los contratos, causaciones con errores en el concepto, numero de factura o valor. Dichos hallazgos se socializaron con el lider proceso.</t>
        </r>
      </text>
    </comment>
    <comment ref="K17" authorId="1" shapeId="0">
      <text>
        <r>
          <rPr>
            <b/>
            <sz val="9"/>
            <color indexed="81"/>
            <rFont val="Tahoma"/>
            <family val="2"/>
          </rPr>
          <t>Gloria A. Sanchez M.:</t>
        </r>
        <r>
          <rPr>
            <sz val="9"/>
            <color indexed="81"/>
            <rFont val="Tahoma"/>
            <family val="2"/>
          </rPr>
          <t xml:space="preserve">
ulio 2022: Se realizó control previo a 325 cuentas, con el 100% de cumplimiento. Nuevamente se evidencian Inconsistencias recurrentes en la aplicación de impuestos, anexos de seguridad social no ajustadas a los contratos, causaciones con errores en el concepto, numero de factura o valor. Dichos hallazgos se socializaron con el lider proceso.</t>
        </r>
      </text>
    </comment>
    <comment ref="M17" authorId="1" shapeId="0">
      <text>
        <r>
          <rPr>
            <b/>
            <sz val="9"/>
            <color indexed="81"/>
            <rFont val="Tahoma"/>
            <family val="2"/>
          </rPr>
          <t>Gloria A. Sanchez M.:</t>
        </r>
        <r>
          <rPr>
            <sz val="9"/>
            <color indexed="81"/>
            <rFont val="Tahoma"/>
            <family val="2"/>
          </rPr>
          <t xml:space="preserve">
Septiembre 2022: Se realizó control previo a 347 cuentas, con el 100% de cumplimiento. Evidenciando de manera recurrente Inconsistencias en la aplicación de impuestos, anexos de seguridad social no ajustadas a los contratos, causaciones con errores en el concepto, numero de factura o valor. Dichos hallazgos se socializaron con el lider proceso.</t>
        </r>
      </text>
    </comment>
    <comment ref="N17" authorId="1" shapeId="0">
      <text>
        <r>
          <rPr>
            <b/>
            <sz val="9"/>
            <color indexed="81"/>
            <rFont val="Tahoma"/>
            <family val="2"/>
          </rPr>
          <t>Gloria A. Sanchez M.:</t>
        </r>
        <r>
          <rPr>
            <sz val="9"/>
            <color indexed="81"/>
            <rFont val="Tahoma"/>
            <family val="2"/>
          </rPr>
          <t xml:space="preserve">
Octubre 2022: Se realizó control previo a 308 cuentas, con el 100% de cumplimiento. En el transcurso del año 2022 se evidencian continuamante Inconsistencias en la aplicación de impuestos, anexos de seguridad social no ajustadas a los contratos, causaciones con errores en el concepto, numero de factura o valor. Dichos hallazgos se socializaron con el lider proceso.</t>
        </r>
      </text>
    </comment>
    <comment ref="O17" authorId="1" shapeId="0">
      <text>
        <r>
          <rPr>
            <b/>
            <sz val="9"/>
            <color indexed="81"/>
            <rFont val="Tahoma"/>
            <family val="2"/>
          </rPr>
          <t>Gloria A. Sanchez M.:</t>
        </r>
        <r>
          <rPr>
            <sz val="9"/>
            <color indexed="81"/>
            <rFont val="Tahoma"/>
            <family val="2"/>
          </rPr>
          <t xml:space="preserve">
Noviembre 2022: Se realizó control previo a 349 cuentas, con el 100% de cumplimiento. En el transcurso del año 2022 se evidencian continuamante Inconsistencias en la aplicación de impuestos, anexos de seguridad social no ajustadas a los contratos, causaciones con errores en el concepto, numero de factura o valor. Dichos hallazgos se socializaron con el lider proceso.
</t>
        </r>
      </text>
    </comment>
    <comment ref="P17" authorId="1" shapeId="0">
      <text>
        <r>
          <rPr>
            <b/>
            <sz val="9"/>
            <color indexed="81"/>
            <rFont val="Tahoma"/>
            <family val="2"/>
          </rPr>
          <t>Gloria A. Sanchez M.:</t>
        </r>
        <r>
          <rPr>
            <sz val="9"/>
            <color indexed="81"/>
            <rFont val="Tahoma"/>
            <family val="2"/>
          </rPr>
          <t xml:space="preserve">
Diciembre 2022: Se realizó control previo a 315 cuentas, con el 100% de cumplimiento. En el transcurso del año 2022 se evidencian continuamante Inconsistencias y dichos hallazgos se socializaron con el lider proceso.</t>
        </r>
      </text>
    </comment>
    <comment ref="D19" authorId="0" shapeId="0">
      <text>
        <r>
          <rPr>
            <b/>
            <sz val="9"/>
            <color indexed="81"/>
            <rFont val="Tahoma"/>
            <family val="2"/>
          </rPr>
          <t>Gloria Amparo Sanchez:</t>
        </r>
        <r>
          <rPr>
            <sz val="9"/>
            <color indexed="81"/>
            <rFont val="Tahoma"/>
            <family val="2"/>
          </rPr>
          <t xml:space="preserve">
RANGO BUENO: 10</t>
        </r>
      </text>
    </comment>
    <comment ref="D20" authorId="0" shapeId="0">
      <text>
        <r>
          <rPr>
            <b/>
            <sz val="9"/>
            <color indexed="81"/>
            <rFont val="Tahoma"/>
            <family val="2"/>
          </rPr>
          <t>Gloria Amparo Sanchez:</t>
        </r>
        <r>
          <rPr>
            <sz val="9"/>
            <color indexed="81"/>
            <rFont val="Tahoma"/>
            <family val="2"/>
          </rPr>
          <t xml:space="preserve">
RANGO BUENO: 0,5</t>
        </r>
      </text>
    </comment>
    <comment ref="E20" authorId="1" shapeId="0">
      <text>
        <r>
          <rPr>
            <b/>
            <sz val="9"/>
            <color indexed="81"/>
            <rFont val="Tahoma"/>
            <family val="2"/>
          </rPr>
          <t>Gloria A. Sanchez M.:</t>
        </r>
        <r>
          <rPr>
            <sz val="9"/>
            <color indexed="81"/>
            <rFont val="Tahoma"/>
            <family val="2"/>
          </rPr>
          <t xml:space="preserve">
Se cumple la meta nacional del 0,3%, alcanzándose en la seccional el 2,57%, para la vigencia del año 2022. Se adquirió en compra 225 ejemplares (154 sede centro y 71 ejemplares en la sede Belmonte). En donación se recibieron 124 ejemplares (82 centro y 42 ejemplares en Belmonte). y más de 8000 títulos en medio electrónico en cada una de las bases de datos que contienen libros digitales y electrónicos de cada una de las facultades que fueron renovadas durante el presente año.</t>
        </r>
      </text>
    </comment>
    <comment ref="D21" authorId="0" shapeId="0">
      <text>
        <r>
          <rPr>
            <b/>
            <sz val="9"/>
            <color indexed="81"/>
            <rFont val="Tahoma"/>
            <family val="2"/>
          </rPr>
          <t>Gloria Amparo Sanchez:</t>
        </r>
        <r>
          <rPr>
            <sz val="9"/>
            <color indexed="81"/>
            <rFont val="Tahoma"/>
            <family val="2"/>
          </rPr>
          <t xml:space="preserve">
RANGO BUENO: 30</t>
        </r>
      </text>
    </comment>
    <comment ref="E21" authorId="1" shapeId="0">
      <text>
        <r>
          <rPr>
            <b/>
            <sz val="9"/>
            <color indexed="81"/>
            <rFont val="Tahoma"/>
            <family val="2"/>
          </rPr>
          <t>Gloria A. Sanchez M.:</t>
        </r>
        <r>
          <rPr>
            <sz val="9"/>
            <color indexed="81"/>
            <rFont val="Tahoma"/>
            <family val="2"/>
          </rPr>
          <t xml:space="preserve">
AÑO 2022 Se cumple la meta nacional de 10 volúmenes por estudiante , en la Seccional Pereira, se obtuvo un resultado del 12,05% teniendo en cuenta el total de alumnos de la seccional de 3.254 matriculados y el total de la colección en libros físicos que es de 39.223 ejemplares (sede centro: 19964; campus Belmonte: 19259).
</t>
        </r>
      </text>
    </comment>
    <comment ref="D22" authorId="0" shapeId="0">
      <text>
        <r>
          <rPr>
            <b/>
            <sz val="9"/>
            <color indexed="81"/>
            <rFont val="Tahoma"/>
            <family val="2"/>
          </rPr>
          <t>Gloria Amparo Sanchez:</t>
        </r>
        <r>
          <rPr>
            <sz val="9"/>
            <color indexed="81"/>
            <rFont val="Tahoma"/>
            <family val="2"/>
          </rPr>
          <t xml:space="preserve">
RANGO BUENO: 2% </t>
        </r>
      </text>
    </comment>
    <comment ref="E22" authorId="1" shapeId="0">
      <text>
        <r>
          <rPr>
            <b/>
            <sz val="9"/>
            <color indexed="81"/>
            <rFont val="Tahoma"/>
            <family val="2"/>
          </rPr>
          <t>Gloria A. Sanchez M.:</t>
        </r>
        <r>
          <rPr>
            <sz val="9"/>
            <color indexed="81"/>
            <rFont val="Tahoma"/>
            <family val="2"/>
          </rPr>
          <t xml:space="preserve">
Año 2022
Comparativamente con el año anterior, la pérdida de material bibliográfico para el año 2022 fue de 27 ejemplares traducidos en el 0,07%, correspondiendo a la sede centro el 0,03% y a la sede Belmonte el 0,11%, ambas bibliotecas son en modalidad abierta al público y nos encontramos por debajo de la meta nacional del 1%. Resultado que genera la actividad desarrollada con el personal de la biblioteca en el inventario anual. Es importante aclarar que la metodología utilizada para este año, fue con gráficas dinámicas del informe de Excel que generaron el total de la colección procesada (39223 ejemplares) contra el total del inventario en JANIUM en libros, a la vez, se verifica los libros ubicados en las estanterías con el lector RFID de Genia y auditados de manera física y presencial por auditoría seccional.</t>
        </r>
      </text>
    </comment>
    <comment ref="D24" authorId="0" shapeId="0">
      <text>
        <r>
          <rPr>
            <b/>
            <sz val="9"/>
            <color indexed="81"/>
            <rFont val="Tahoma"/>
            <family val="2"/>
          </rPr>
          <t>Gloria Amparo Sanchez:</t>
        </r>
        <r>
          <rPr>
            <sz val="9"/>
            <color indexed="81"/>
            <rFont val="Tahoma"/>
            <family val="2"/>
          </rPr>
          <t xml:space="preserve">
RANGO BUENO: 36% -50%</t>
        </r>
      </text>
    </comment>
    <comment ref="E24" authorId="1" shapeId="0">
      <text>
        <r>
          <rPr>
            <b/>
            <sz val="9"/>
            <color indexed="81"/>
            <rFont val="Tahoma"/>
            <family val="2"/>
          </rPr>
          <t>Gloria A. Sanchez M.:</t>
        </r>
        <r>
          <rPr>
            <sz val="9"/>
            <color indexed="81"/>
            <rFont val="Tahoma"/>
            <family val="2"/>
          </rPr>
          <t xml:space="preserve">
2022-1 En el primer semestre de 2022, se supera la meta nacional del 80% obteniéndose en la seccional un resultado de 97,83% de 451 estudiantes nuevos que recibieron la inducción semestral (Pregrado: 345 y posgrado 106), de un total de 461 estudiantes nuevos matriculados.
Igualmente, se llevó a cabo 11 inducciones en el conocimiento de los servicios y recursos de apoyo académico, durante el semestre a nuevas cohortes en posgrado y personal administrativo nuevo, con la participación de 155 usuarios que corresponden a : 19 administrativos, 136 estudiantes de posgrado. En capacitación semestral se dio 16 capacitaciones con la participación de 210 docentes; y 42 invitaciones a capacitar en recursos físicos y virtuales con la asistencia de 1156 estudiantes de pregrado.</t>
        </r>
      </text>
    </comment>
    <comment ref="K24" authorId="1" shapeId="0">
      <text>
        <r>
          <rPr>
            <b/>
            <sz val="9"/>
            <color indexed="81"/>
            <rFont val="Tahoma"/>
            <family val="2"/>
          </rPr>
          <t>Gloria A. Sanchez M.:</t>
        </r>
        <r>
          <rPr>
            <sz val="9"/>
            <color indexed="81"/>
            <rFont val="Tahoma"/>
            <family val="2"/>
          </rPr>
          <t xml:space="preserve">
En el segundo semestre de 2022 se supera la meta nacional del 80% obteniéndose en la seccional un resultado de 84,43% de 461 estudiantes nuevos que recibieron la inducción semestral (pregrado: 411 ; posgrado: 135) de un total de 546 estudiantes nuevos matriculados en el 2022. En el proceso de inducción se recibió 25 invitaciones a inducciones con un total de 690 usuarios distribuidos así: 411 estudiantes de pregrado; 135 estudiantes de posgrado y 6 administrativos y 138 egresados no graduados. 68 invitaciones a capacitaciones presenciales con un total de 1606 estudiantes que participaron de la capacitación en recursos virtuales y servicios de la biblioteca, distribuidos de la siguiente manera: estudiantes de pregrado: 1369; docentes 228; y administrativos 9.</t>
        </r>
      </text>
    </comment>
    <comment ref="D25" authorId="0" shapeId="0">
      <text>
        <r>
          <rPr>
            <b/>
            <sz val="9"/>
            <color indexed="81"/>
            <rFont val="Tahoma"/>
            <family val="2"/>
          </rPr>
          <t>Gloria Amparo Sanchez:</t>
        </r>
        <r>
          <rPr>
            <sz val="9"/>
            <color indexed="81"/>
            <rFont val="Tahoma"/>
            <family val="2"/>
          </rPr>
          <t xml:space="preserve">
RANGO BUENO:  80-100</t>
        </r>
      </text>
    </comment>
    <comment ref="E26" authorId="1" shapeId="0">
      <text>
        <r>
          <rPr>
            <b/>
            <sz val="9"/>
            <color indexed="81"/>
            <rFont val="Tahoma"/>
            <family val="2"/>
          </rPr>
          <t>Gloria A. Sanchez M.:</t>
        </r>
        <r>
          <rPr>
            <sz val="9"/>
            <color indexed="81"/>
            <rFont val="Tahoma"/>
            <family val="2"/>
          </rPr>
          <t xml:space="preserve">
AÑO 2022
para la vigencia del año 2022 la seccional obtuvo un resultado de 207,07. De acuerdo a datos estadísticos de uso suministrados por el proveedor de JANIUM a noviembre 30. se realizaron 6.689 préstamos de material físico en la biblioteca de la Seccional Pereira. Se visualiza en el sistema de información bibliográfico 49 libros que se encuentran en calidad de préstamo.
Para la Facultad de ciencias económicas administrativas y contables se generaron 463 préstamos; Para la Facultad de Ciencias de la salud, exactas y naturales 620; para la Facultad de Ingeniería 311 préstamos y para la Facultad de Derecho, Ciencias sociales y políticas 5.295 prestamos durante el año 2022</t>
        </r>
      </text>
    </comment>
    <comment ref="D27" authorId="1" shapeId="0">
      <text>
        <r>
          <rPr>
            <b/>
            <sz val="9"/>
            <color indexed="81"/>
            <rFont val="Tahoma"/>
            <family val="2"/>
          </rPr>
          <t>Gloria A. Sanchez M.:</t>
        </r>
        <r>
          <rPr>
            <sz val="9"/>
            <color indexed="81"/>
            <rFont val="Tahoma"/>
            <family val="2"/>
          </rPr>
          <t xml:space="preserve">
Indicador de Gestión de la Biblioteca: “NIVEL DE CONSULTA DE RECURSOS VIRTUALES DE LAS BASES DE DATOS” Por recomendación del Director Nacional de Biblioteca, donde confirma que las variables de este indicador se deberán alimentar teniendo en cuenta las siguientes herramientas. Variable 1. Número de interacciones virtuales en las Bases de Datos; este dato será tomado de la herramienta SIGUL 
Variable 2. Total, de la comunidad universitaria: esta información será tomada del documento “Certificado de Planeación cantidad de estudiantes –Resolución 03”, (el cual se genera dos veces al año y los directores de biblioteca tienen el acceso a este).  Con relación a que aún no se encuentra determinada una meta para este indicador como para el de “Nivel de Uso de Recursos Bibliográficos Físicos (externo y sala)”, se ha recomendado tomar un periodo más como línea base con el objetivo de tener una mayor exactitud a la hora de asignar las metas. 
</t>
        </r>
      </text>
    </comment>
    <comment ref="E27" authorId="1" shapeId="0">
      <text>
        <r>
          <rPr>
            <b/>
            <sz val="9"/>
            <color indexed="81"/>
            <rFont val="Tahoma"/>
            <family val="2"/>
          </rPr>
          <t>Gloria A. Sanchez M.:</t>
        </r>
        <r>
          <rPr>
            <sz val="9"/>
            <color indexed="81"/>
            <rFont val="Tahoma"/>
            <family val="2"/>
          </rPr>
          <t xml:space="preserve">
La seccional durante el periodo 2022-1 tuvo 1.190.694 interacciones virtuales de las bases de datos con participación de 1.679 usuarios en la Seccional Pereira, sobre el total de la comunidad universitaria de 3744 estudiantes (pregrado 3220 posgrado 524), distribuido en las 4 facultades de la siguiente manera:
Facultad de Derecho Ciencias Políticas y Sociales: 550.893 interacciones en 702 usuarios;
Facultad de Ingenierías: 207.205 interacciones en 393 usuarios;
Facultad de ciencias de la Salud, exactas y naturales: 245845 interacciones en 323 usuarios y Facultad de Ciencias Económicas Administrativas y Contables: 186.748 interacciones en 261 usuarios.
El resultado del indicador en el Sistema de Información KAWAK fue l 31,802.72
</t>
        </r>
      </text>
    </comment>
    <comment ref="K27" authorId="1" shapeId="0">
      <text>
        <r>
          <rPr>
            <b/>
            <sz val="9"/>
            <color indexed="81"/>
            <rFont val="Tahoma"/>
            <family val="2"/>
          </rPr>
          <t>Gloria A. Sanchez M.:</t>
        </r>
        <r>
          <rPr>
            <sz val="9"/>
            <color indexed="81"/>
            <rFont val="Tahoma"/>
            <family val="2"/>
          </rPr>
          <t xml:space="preserve">
Año 2022
En la seccional se obtuvo un resultado de 3.012109 interacciones virtuales de las bases de datos en 2.595 usuarios a noviembre 30 especificado de la siguiente manera:
para pregrado: 2.592.906 interacciones en 2.386 usuarios
Facultad de Ciencias económicas administrativas y contables: En el año 2022 se generaron 425.269 interacciones en 361 usuarios de 3254 estudiantes de pregrado y posgrado matriculados en la Seccional Pereira, lo que significa que: 195.888 interacciones en 121 usuarios del programa de economía; 111099 interacciones en 130 usuarios para el programa de Administración de empresas; 85.037 interacciones en 95 usuarios para el programa de contaduría pública y 33.263 interacciones en 16 docentes que corresponden a la facultad. Las bases de datos que consultaron más son: Emis, Analítica LEGIS, Ebook 7/24, Scopus, Legiscomex, Legis, Infolegal DMS, V/lex.
Facultad de Derecho, Ciencias Sociales y políticas: En el año 2022 se generaron 964.032 interacciones en 727 usuarios de 3254 estudiantes de pregrado y posgrado matriculados en la Seccional Pereira, lo que significa que: 949.634 interacciones en 679 usuarios del programa de derecho; 14.398 interacciones en 48 usuarios del programa de Trabajo Social. Las bases de datos más consultadas son : Emis, Sciencedirect, Ebook 7/24, Scopus, Legiscomex, Tirant, Ebsco, Jstor, Total pantent one, analítica, V/lex, Experta.
Facultad de ingenierías: Para el año 2022 se generaron 511.317 interacciones en 604 usuarios de 3254 estudiantes de pregrado y posgrado matriculados en la Seccional Pereira, lo que significa que: Para Ing. civil se generaron 325.029 interacciones en 355 usuarios; Ing. comercial se generaron 84.657 interacciones en 106 usuarios; ing. financiera se generaron 54.721 interacciones en 68 usuarios y el programa de Ing. de sistemas se generaron 8.553 interacciones en 45 usuarios. Las bases de datos más consultadas son : Emis, Sciencedirect, Ebook 7/24, Scopus, Legiscomex, Ebsco, Acces Engineering, Virtual pro, icontec, Analítica, Experta.
Facultad de ciencias de la salud, exactas y naturales: Para el año 2022 se generaron 446.713 interacciones en 434 usuarios de 3254 estudiantes de pregrado y posgrado matriculados en la Seccional Pereira, lo que significa que: para el programa de nutrición y dietética se generaron 180.492 interacciones en 168 usuarios; Microbiología 159.112 interacciones en 116 usuarios; Enfermería 107.109 interacciones en 150 usuarios. Las bases de datos más consultadas son: Scopus, Ebooks 7/24, Sciencedirect, Nursing-Ovid,Ebsco, NNNconsult, Clínica key, Anatomy tv, Emis, Icontec, Link solver.
Para posgrado: 310.478 interacciones en 200 usuarios
Facultad de Derecho, ciencias sociales y políticas se generaron 240438 interacciones en 204 usuarios de los programas de especialización. Las bases de datos más consultadas son: V/lex, Xperta,Lex base,Legis móvil, Tirant Lo blanch, Infolegal DMS, Analítica, Scopus, Astrea Virtual, Jstor, Ebsco, Legis.
Facultad de ciencias de la salud, exactas y naturales: Se generaron 4.873 interacciones en 7 usuarios de los programas de especialización y maestría. Las bases de datos más consultadas son: Ebook 7/24, Icontec, Scopus, Linksolver, Salud leyex, Nursing, Legis móvil, Xperta, sgsst Global, Códigos leyex. Analítica.
Facultad de Ingenierías: Se generaron 43 interacciones en 1 usuario de las especializaciones. Las bases de datos más usadas son: Scopus y Sciencedirect
Facultad de ciencias económicas administrativas y contables: Se generaron 56.124 interacciones en 40 usuarios de las especializaciones y maestrías. La bases de datos más consultadas son: Emis, Analítica, Ebook 7/24, Scocpus, Legiscomex, Legismóvil, Xperta, Ebsco, infolegal DMS.</t>
        </r>
      </text>
    </comment>
    <comment ref="D28" authorId="0" shapeId="0">
      <text>
        <r>
          <rPr>
            <b/>
            <sz val="9"/>
            <color indexed="81"/>
            <rFont val="Tahoma"/>
            <family val="2"/>
          </rPr>
          <t>Gloria Amparo Sanchez:</t>
        </r>
        <r>
          <rPr>
            <sz val="9"/>
            <color indexed="81"/>
            <rFont val="Tahoma"/>
            <family val="2"/>
          </rPr>
          <t xml:space="preserve">
Rango bueno: 24,99%-20%</t>
        </r>
      </text>
    </comment>
    <comment ref="E28" authorId="1" shapeId="0">
      <text>
        <r>
          <rPr>
            <b/>
            <sz val="9"/>
            <color indexed="81"/>
            <rFont val="Tahoma"/>
            <family val="2"/>
          </rPr>
          <t>Gloria A. Sanchez M.:</t>
        </r>
        <r>
          <rPr>
            <sz val="9"/>
            <color indexed="81"/>
            <rFont val="Tahoma"/>
            <family val="2"/>
          </rPr>
          <t xml:space="preserve">
Para el primer semestre del 2022, se cumple la meta del 50% con un resultado seccional del 60.92% (del total de 4033 entre estudiantes de pregrado y posgrado, docentes, administrativos y egresados de la comunidad Unilibrista).
Para el primer semestre de la vigencia se obtiene un impacto muy positivo en las intervenciones realizadas dirigidas a toda la comunidad Unilibrista, para la formación de hábitos y estilos de vida que preserven la salud, evidenciado por un 61%. En el retorno a las actividades presenciales se observó un incremento de las valoraciones en el consultorio médico, mayor acceso a los servicios de manera espontánea para asesoramiento y orientación en temas diversos (síntomas COVID-19, medidas de protección, planificación familiar, control del peso y de la presión arterial, entre otros). También se resalta en el periodo el cumplimiento de la semana de la salud, evento que se realizó en el marco del Día Mundial de la Salud y logró la participación de la comunidad en las diferentes campañas y actividades durante la semana del 4 al 8 de abril.
Se programó como parte de las acciones de mejoramiento continuo con la Coordinación de Calidad de la Seccional, jornadas de socialización y refuerzo dirigida al personal docente en el tema de Área Protegida.
En el mes de mayo se realiza intervención dirigida al personal de vigilancia de la Universidad, para socializar y reforzar el uso correcto, cobertura, alcance y límites del servicio de Área Protegida, el cual no queda en las estadísticas por constituirse en personal externo (total intervenidos: 19 personas).</t>
        </r>
      </text>
    </comment>
    <comment ref="K28" authorId="1" shapeId="0">
      <text>
        <r>
          <rPr>
            <b/>
            <sz val="9"/>
            <color indexed="81"/>
            <rFont val="Tahoma"/>
            <family val="2"/>
          </rPr>
          <t>Gloria A. Sanchez M.:</t>
        </r>
        <r>
          <rPr>
            <sz val="9"/>
            <color indexed="81"/>
            <rFont val="Tahoma"/>
            <family val="2"/>
          </rPr>
          <t xml:space="preserve">
Para el segundo semestre del 2022, la coordinación de salud cumple la meta del 50% con un resultado seccional del 55.01%, de un total de 4092 integrantes de la comunidad, se logran impactar a 2.251 personas entre estudiantes de pregrado y posgrado, docentes, administrativos y egresados de la comunidad Unilibrista.
Para el segundo semestre se continua con un impacto muy positivo en las intervenciones realizadas dirigidas a toda la comunidad Unilibrista, Fortaleciendo las acciones de promoción y prevención encaminadas a generar hábitos y estilos de vida saludable, que permitan una mayor conciencia y empoderamiento entre los integrantes de la comunidad universitaria, sobre la importancia de la cultura del cuidado de la salud como aspecto fundamental para el disfrute de la vida.
Así, se llevan a cabo programas sobre todo de prevención y promoción; contamos con consultorio médico, de enfermería y programas tales como:
Consulta Medica
Consulta de enfermería
Atención en planificación familiar
Programas de promoción y prevención
Atención inicial de emergencias (primeros auxilios)
Servicio de área protegida
Programa de autocuidado:
Manejo del estrés
Sexualidad responsable
Hábitos de vida saludable</t>
        </r>
      </text>
    </comment>
    <comment ref="D29" authorId="0" shapeId="0">
      <text>
        <r>
          <rPr>
            <b/>
            <sz val="9"/>
            <color indexed="81"/>
            <rFont val="Tahoma"/>
            <family val="2"/>
          </rPr>
          <t>Gloria Amparo Sanchez:</t>
        </r>
        <r>
          <rPr>
            <sz val="9"/>
            <color indexed="81"/>
            <rFont val="Tahoma"/>
            <family val="2"/>
          </rPr>
          <t xml:space="preserve">
Rango bueno: 24,99%-20%</t>
        </r>
      </text>
    </comment>
    <comment ref="E29" authorId="1" shapeId="0">
      <text>
        <r>
          <rPr>
            <b/>
            <sz val="9"/>
            <color indexed="81"/>
            <rFont val="Tahoma"/>
            <family val="2"/>
          </rPr>
          <t>Gloria A. Sanchez M.:</t>
        </r>
        <r>
          <rPr>
            <sz val="9"/>
            <color indexed="81"/>
            <rFont val="Tahoma"/>
            <family val="2"/>
          </rPr>
          <t xml:space="preserve">
Para el primer semestre del 2022, Se cumple la meta estándar nacional, con un resultado seccional del 34.12% (del total de 4033 entre estudiantes de pregrado y posgrado, docentes, administrativos y egresados que hacen parte de la comunidad unilibrista, participaron en programas de desarrollo humano 1376 personas)
Lo anterior como resultado de las intervenciones grupales e individuales, Acompañamiento integral en salud mental en momentos de crisis, con seguimiento y continuidad de terapias. Atención Psicológica a la Comunidad Unilibrista con factores de riesgo y confirmación o sospecha de infección por COVID-19.</t>
        </r>
      </text>
    </comment>
    <comment ref="K29" authorId="1" shapeId="0">
      <text>
        <r>
          <rPr>
            <b/>
            <sz val="9"/>
            <color indexed="81"/>
            <rFont val="Tahoma"/>
            <family val="2"/>
          </rPr>
          <t>Gloria A. Sanchez M.:</t>
        </r>
        <r>
          <rPr>
            <sz val="9"/>
            <color indexed="81"/>
            <rFont val="Tahoma"/>
            <family val="2"/>
          </rPr>
          <t xml:space="preserve">
Para el segundo semestre del 2022, el área de desarrollo humano cumple la meta estándar nacional, con un resultado seccional del 50,59% de una población total de 4092 personas entre estudiantes de pregrado y posgrado, docentes, administrativos y egresados que hacen parte de la comunidad unilibrista, participaron en programas de desarrollo humano 2070 personas.
Desde el área de Desarrollo humano realizamos acompañamiento integral en salud mental en momentos de crisis, con seguimiento y continuidad de terapias psicológica clínica a la Comunidad Unilibrista y programas tales como:
Asesoría y acompañamiento Psicológico
Talleres motivacionales para la practica empresarial, integral y profesional
Talleres de adaptación a la vida universitaria
Educación y asesoría para el crecimiento y desarrollo personal y profesional
Programa de autocuidado:
Manejo del estrés
Sexualidad responsable
Hábitos de vida saludable
Encuentro de padres unilibristas</t>
        </r>
      </text>
    </comment>
    <comment ref="D30" authorId="0" shapeId="0">
      <text>
        <r>
          <rPr>
            <b/>
            <sz val="9"/>
            <color indexed="81"/>
            <rFont val="Tahoma"/>
            <family val="2"/>
          </rPr>
          <t>Gloria Amparo Sanchez:</t>
        </r>
        <r>
          <rPr>
            <sz val="9"/>
            <color indexed="81"/>
            <rFont val="Tahoma"/>
            <family val="2"/>
          </rPr>
          <t xml:space="preserve">
Rango bueno: 4 - 5</t>
        </r>
      </text>
    </comment>
    <comment ref="E30" authorId="1" shapeId="0">
      <text>
        <r>
          <rPr>
            <b/>
            <sz val="9"/>
            <color indexed="81"/>
            <rFont val="Tahoma"/>
            <family val="2"/>
          </rPr>
          <t>Gloria A. Sanchez M.:</t>
        </r>
        <r>
          <rPr>
            <sz val="9"/>
            <color indexed="81"/>
            <rFont val="Tahoma"/>
            <family val="2"/>
          </rPr>
          <t xml:space="preserve">
Para el primer semestre del 2022, 51 usuarios calificaron el servicio a través del software de adviser, obteniéndose como resultado el 4,69, equivalente al 93,80% de satisfacción en la atención en salud, la sumatoria del semestre de la calificación de la calificación del servicio en el área de salud - Servicio Médico fue de 239.
Los servicios ofrecidos en esta área son: Consulta médica, valoración por enfermería, asesorías en planificación familiar, atención inicial de urgencias y emergencias, servicio del área protegida, servicio de paramédico, entre otros.</t>
        </r>
      </text>
    </comment>
    <comment ref="K30" authorId="1" shapeId="0">
      <text>
        <r>
          <rPr>
            <b/>
            <sz val="9"/>
            <color indexed="81"/>
            <rFont val="Tahoma"/>
            <family val="2"/>
          </rPr>
          <t>Gloria A. Sanchez M.:</t>
        </r>
        <r>
          <rPr>
            <sz val="9"/>
            <color indexed="81"/>
            <rFont val="Tahoma"/>
            <family val="2"/>
          </rPr>
          <t xml:space="preserve">
Para el segundo semestre del 2022, 99 usuarios calificaron el servicio a través del software de adviser, obteniéndose como resultado el 4,52 equivalente al 90,40% de satisfacción en la atención en salud, la sumatoria del semestre de la calificación de la calificación del servicio en el área de salud - Servicio Médico fue de 447.
Los servicios ofrecidos en esta área son: Consulta médica, valoración por enfermería, asesorías en planificación familiar, atención inicial de urgencias y emergencias, servicio del área protegida, servicio de paramédico, entre otros.
</t>
        </r>
      </text>
    </comment>
    <comment ref="D31" authorId="0" shapeId="0">
      <text>
        <r>
          <rPr>
            <b/>
            <sz val="9"/>
            <color indexed="81"/>
            <rFont val="Tahoma"/>
            <family val="2"/>
          </rPr>
          <t>Gloria Amparo Sanchez:</t>
        </r>
        <r>
          <rPr>
            <sz val="9"/>
            <color indexed="81"/>
            <rFont val="Tahoma"/>
            <family val="2"/>
          </rPr>
          <t xml:space="preserve">
Rango bueno: 4 - 5</t>
        </r>
      </text>
    </comment>
    <comment ref="E31" authorId="1" shapeId="0">
      <text>
        <r>
          <rPr>
            <b/>
            <sz val="9"/>
            <color indexed="81"/>
            <rFont val="Tahoma"/>
            <family val="2"/>
          </rPr>
          <t>Gloria A. Sanchez M.:</t>
        </r>
        <r>
          <rPr>
            <sz val="9"/>
            <color indexed="81"/>
            <rFont val="Tahoma"/>
            <family val="2"/>
          </rPr>
          <t xml:space="preserve">
Para el primer semestre del 2022,19 usuarios calificaron el servicio de psicología, por medio de la plataforma de ADVISER, con una sumatoria de 91,20 calificaciones, obteniéndose una evaluación del 4,80 equivalente al 96% de satisfacción.
Se cuenta con servicio Psicología clínica y educativa, psicóloga asignada a cada facultad , las cuales trabajan en las estrategias educativas que ayudan a la institución a ampliar las tasas de permanencia y graduación con calidad.</t>
        </r>
      </text>
    </comment>
    <comment ref="K31" authorId="1" shapeId="0">
      <text>
        <r>
          <rPr>
            <b/>
            <sz val="9"/>
            <color indexed="81"/>
            <rFont val="Tahoma"/>
            <family val="2"/>
          </rPr>
          <t>Gloria A. Sanchez M.:</t>
        </r>
        <r>
          <rPr>
            <sz val="9"/>
            <color indexed="81"/>
            <rFont val="Tahoma"/>
            <family val="2"/>
          </rPr>
          <t xml:space="preserve">
Para el segundo semestre del 2022, 47 usuarios calificaron el servicio de psicología, por medio de la plataforma de ADVISER, con una sumatoria de 212 calificaciones, obteniéndose una evaluación del 4,51 equivalente al 90,20% de satisfacción.
Se cuenta con servicio Psicología clínica y educativa, psicóloga asignada a cada facultad , las cuales trabajan en las estrategias educativas que ayudan a la institución a ampliar las tasas de permanencia y graduación con calidad.
Se cuenta con servicio Psicología clínica y educativa, psicóloga asignada a cada facultad , las cuales trabajan en las estrategias educativas que ayudan a la institución a ampliar las tasas de permanencia y graduación con calidad.</t>
        </r>
      </text>
    </comment>
    <comment ref="D32" authorId="0" shapeId="0">
      <text>
        <r>
          <rPr>
            <b/>
            <sz val="9"/>
            <color indexed="81"/>
            <rFont val="Tahoma"/>
            <family val="2"/>
          </rPr>
          <t>Gloria Amparo Sanchez:</t>
        </r>
        <r>
          <rPr>
            <sz val="9"/>
            <color indexed="81"/>
            <rFont val="Tahoma"/>
            <family val="2"/>
          </rPr>
          <t xml:space="preserve">
Rango bueno:  7,99% - 5%</t>
        </r>
      </text>
    </comment>
    <comment ref="E32" authorId="1" shapeId="0">
      <text>
        <r>
          <rPr>
            <b/>
            <sz val="9"/>
            <color indexed="81"/>
            <rFont val="Tahoma"/>
            <family val="2"/>
          </rPr>
          <t>Gloria A. Sanchez M.:</t>
        </r>
        <r>
          <rPr>
            <sz val="9"/>
            <color indexed="81"/>
            <rFont val="Tahoma"/>
            <family val="2"/>
          </rPr>
          <t xml:space="preserve">
e cumple la meta estándar nacional "Alcanzar la participación del 8% del total de la Comunidad Unilibrista en las acciones culturales", obteniendo un resultado seccional del 17.52% ,donde el total de participantes en actividades culturales formativas fue de 738, y actividades culturales recreativas de 726, con una población total de 4033 personas (estudiantes, docentes, administrativos) los cuales hacen parte de la comunidad unilibrista.
Para este primer semestre el área de cultura ofreció sus servicios de manera presencial en las sede centro y Belmonte, con actividades que fueron gran agrado de los participantes, como:
Clases de danzas
claves de música
clases de teatro
clases del taller de pánico escénico
</t>
        </r>
      </text>
    </comment>
    <comment ref="K32" authorId="1" shapeId="0">
      <text>
        <r>
          <rPr>
            <b/>
            <sz val="9"/>
            <color indexed="81"/>
            <rFont val="Tahoma"/>
            <family val="2"/>
          </rPr>
          <t>Gloria A. Sanchez M.:</t>
        </r>
        <r>
          <rPr>
            <sz val="9"/>
            <color indexed="81"/>
            <rFont val="Tahoma"/>
            <family val="2"/>
          </rPr>
          <t xml:space="preserve">
Para el segundo semestre del 2022, desde la coordinación de cultura se cumplió la meta estándar nacional "Alcanzar la participación del 8% del total de la Comunidad Unilibrista en las acciones culturales", obteniendo la seccional Pereira un resultado seccional del 20,39% ,donde el total de participantes en actividades culturales formativas fue de 612, y actividades culturales recreativas de 1.477, con una población total de 4092 personas (estudiantes, docentes, administrativos) los cuales hacen parte de la comunidad unilibrista.
Para este segundo semestre el área de cultura ofreció sus servicios de manera presencial en la sede del centro y de Belmonte, ofertando las disciplinas que fueron de gran agrado para los participantes, como:
Clases de danzas
Clases de música
Clases de teatro
Clases del taller de pánico escénico</t>
        </r>
      </text>
    </comment>
    <comment ref="D33" authorId="0" shapeId="0">
      <text>
        <r>
          <rPr>
            <b/>
            <sz val="9"/>
            <color indexed="81"/>
            <rFont val="Tahoma"/>
            <family val="2"/>
          </rPr>
          <t>Gloria Amparo Sanchez:</t>
        </r>
        <r>
          <rPr>
            <sz val="9"/>
            <color indexed="81"/>
            <rFont val="Tahoma"/>
            <family val="2"/>
          </rPr>
          <t xml:space="preserve">
Gloria Amparo Sanchez:
Rango bueno:  7,99% - 5%</t>
        </r>
      </text>
    </comment>
    <comment ref="E33" authorId="1" shapeId="0">
      <text>
        <r>
          <rPr>
            <b/>
            <sz val="9"/>
            <color indexed="81"/>
            <rFont val="Tahoma"/>
            <family val="2"/>
          </rPr>
          <t>Gloria A. Sanchez M.:</t>
        </r>
        <r>
          <rPr>
            <sz val="9"/>
            <color indexed="81"/>
            <rFont val="Tahoma"/>
            <family val="2"/>
          </rPr>
          <t xml:space="preserve">
Para la coordinación de Deportes se obtiene un resultado del 10,65%, superando la meta del 10% de la participación de la comunidad en las actividades de Deportes.
El número total de participantes en actividades formativas fue de 372, el número total de participantes en actividades recreativas de 508, y de 54 estudiantes que participaron en grupos representativos, con respecto al total de población de la comunidad Unilibrista en semestre de 4033.
Las actividades realizadas durante el primer semestre tuvieron impacto muy positivo en la comunidad, toda vez que la institución regreso a la presencialidad, y de esta manera se habilitaron los espacios deportivos, como la disciplinas de futbol y voleibol.
Se proyecta que para el segundo semestre del año se proyecta poder entregar a la comunidad otras disciplinas como baloncesto y natación.</t>
        </r>
      </text>
    </comment>
    <comment ref="K33" authorId="1" shapeId="0">
      <text>
        <r>
          <rPr>
            <b/>
            <sz val="9"/>
            <color indexed="81"/>
            <rFont val="Tahoma"/>
            <family val="2"/>
          </rPr>
          <t>Gloria A. Sanchez M.:</t>
        </r>
        <r>
          <rPr>
            <sz val="9"/>
            <color indexed="81"/>
            <rFont val="Tahoma"/>
            <family val="2"/>
          </rPr>
          <t xml:space="preserve">
Para el segundo semestre del año la coordinación de Deportes obtiene un resultado del 13,12%, superando la meta del 10% de la participación de la comunidad en las actividades de Deportes.
El número total de participantes en actividades formativas fue de 169, el número total de participantes en actividades recreativas de 1.168, y de 85 estudiantes que participaron en grupos representativos, con respecto al total de población de la comunidad Unilibrista en semestre de 4092.
Las actividades realizadas durante el segundo semestre tuvieron impacto muy positivo en la comunidad, toda vez que la institución regresó a la presencialidad, y de esta manera se habilitaron los diferentes escenarios deportivos, como las disciplinas de futbol, voleibol, baloncesto y Gimnasio.</t>
        </r>
      </text>
    </comment>
    <comment ref="E34" authorId="1" shapeId="0">
      <text>
        <r>
          <rPr>
            <b/>
            <sz val="9"/>
            <color indexed="81"/>
            <rFont val="Tahoma"/>
            <family val="2"/>
          </rPr>
          <t>Gloria A. Sanchez M.:</t>
        </r>
        <r>
          <rPr>
            <sz val="9"/>
            <color indexed="81"/>
            <rFont val="Tahoma"/>
            <family val="2"/>
          </rPr>
          <t xml:space="preserve">
Para el primer semestre del 2022, contamos con una participación de 1070 integrantes de la comunidad unilibrista, con un resultado de impacto del 26.53%
Llevando a cabo desde la coordinación de promoción socioeconómica actividades presenciales, como:
1. Campañas lúdica de seguridad vial.
2. Estudiantes impactados en la Inducción en pregrado.
3. Estudiantes de Inducción en Posgrados.
4. Noche de la excelencia
5. Noche de la pertenencia
6. Proyecto "Unimarket" Red de apoyo a estudiantes y egresados emprendedores
7. Capacitaciones
8. Apoyo logístico</t>
        </r>
      </text>
    </comment>
    <comment ref="K34" authorId="1" shapeId="0">
      <text>
        <r>
          <rPr>
            <b/>
            <sz val="9"/>
            <color indexed="81"/>
            <rFont val="Tahoma"/>
            <family val="2"/>
          </rPr>
          <t>Gloria A. Sanchez M.:</t>
        </r>
        <r>
          <rPr>
            <sz val="9"/>
            <color indexed="81"/>
            <rFont val="Tahoma"/>
            <family val="2"/>
          </rPr>
          <t xml:space="preserve">
Para el segundo semestre del 2022, desde la coordinación de promoción socioeconómica contamos con una participación de 1.378 integrantes de la comunidad unilibrista, entre estudiantes, docentes, personal administrativo y egresados con un resultado de impacto del 33,68%
Llevando a cabo desde la coordinación de promoción socioeconómica actividades presenciales, como:
1. Campañas lúdica de seguridad vial.
2. Estudiantes impactados en la Inducción en pregrado.
3. Estudiantes de Inducción en Posgrados.
4. Noche de la excelencia
5. Noche de la pertenencia
6. Proyecto "Unimarket" Red de apoyo a estudiantes y egresados emprendedores
7. Capacitaciones
8. Apoyo logístico</t>
        </r>
      </text>
    </comment>
    <comment ref="D35" authorId="0" shapeId="0">
      <text>
        <r>
          <rPr>
            <b/>
            <sz val="9"/>
            <color indexed="81"/>
            <rFont val="Tahoma"/>
            <family val="2"/>
          </rPr>
          <t xml:space="preserve">Gloria Amparo Sanchez:
Rango bueno 80%-70% buscar acciones </t>
        </r>
      </text>
    </comment>
    <comment ref="E35" authorId="1" shapeId="0">
      <text>
        <r>
          <rPr>
            <b/>
            <sz val="9"/>
            <color indexed="81"/>
            <rFont val="Tahoma"/>
            <family val="2"/>
          </rPr>
          <t>Gloria A. Sanchez M.:</t>
        </r>
        <r>
          <rPr>
            <sz val="9"/>
            <color indexed="81"/>
            <rFont val="Tahoma"/>
            <family val="2"/>
          </rPr>
          <t xml:space="preserve">
Para la vigencia del año 2022, Se cumple la meta estándar nacional "Ejecutar el 80% de las actividades establecidas en el Plan Anual de Trabajo" , obteniéndose un resultado del 92,47%. De un total de 146 actividades programadas en el plan anual de trabajo (PAT) de Bienestar Universitario, 135 fueron ejecutadas, las 11 que no se ejecutaron, se debió a ajustes presupuestales, y se volvieron a programar para la vigencia 2023:
Las actividades programadas y ejecutadas, se distribuyen por áreas, así:
Salud: de 20 actividades propuestas realiza 17
Desarrollo Humano: de 12 ejecuta 11
Deportes: de 9 realiza 7
Cultura: de 15 realiza 11
Promoción socioeconómica: de 11 realiza 9
Programa de Permanecía y Graduación Estudiantil con Calidad (PPGEC): de 40 actividades programas realiza 41
Egresados: de 39 actividades programadas, se realiza el 100%</t>
        </r>
      </text>
    </comment>
    <comment ref="E36" authorId="1" shapeId="0">
      <text>
        <r>
          <rPr>
            <b/>
            <sz val="9"/>
            <color indexed="81"/>
            <rFont val="Tahoma"/>
            <family val="2"/>
          </rPr>
          <t>Gloria A. Sanchez M.:</t>
        </r>
        <r>
          <rPr>
            <sz val="9"/>
            <color indexed="81"/>
            <rFont val="Tahoma"/>
            <family val="2"/>
          </rPr>
          <t xml:space="preserve">
Para la vigencia del año 2022, desde la Dirección de Bienestar Universitario se cumple con la meta de ejecutar el 2% del presupuesto de la seccional Pereira.
El Presupuesto total ejecutado por Bienestar Universitario fue de $739.000.000 y el ejecutado en la seccional Pereira fue de $37.018.000.000 equivalente al 2%. De un total de 146 actividades programas, se ejecutaron 135, de las cuales algunas requerían de presupuesto y otras con los mismo recursos de la universidad.</t>
        </r>
      </text>
    </comment>
    <comment ref="E37" authorId="1" shapeId="0">
      <text>
        <r>
          <rPr>
            <b/>
            <sz val="9"/>
            <color indexed="81"/>
            <rFont val="Tahoma"/>
            <family val="2"/>
          </rPr>
          <t>Gloria A. Sanchez M.:</t>
        </r>
        <r>
          <rPr>
            <sz val="9"/>
            <color indexed="81"/>
            <rFont val="Tahoma"/>
            <family val="2"/>
          </rPr>
          <t xml:space="preserve">
Se cumple la meta nacional, obteniéndose en la seccional el 2.28% en el primer semestre del 2022, desde las secretarías académicas por reglamento estudiantil, se hizo entrega de 92 becas a los estudiantes que cumplen requisitos para matricula de honor.
Para el segundo semestre se está trabajando con la presidencia y la sindicatura seccional en el proceso de selección de los estudiantes en estado de vulnerabilidad brindarles el auxilio del 90% del valor del almuerzo. De acuerdo a lo anterior, se creó un procedimiento seccional.</t>
        </r>
      </text>
    </comment>
    <comment ref="K37" authorId="1" shapeId="0">
      <text>
        <r>
          <rPr>
            <b/>
            <sz val="9"/>
            <color indexed="81"/>
            <rFont val="Tahoma"/>
            <family val="2"/>
          </rPr>
          <t>Gloria A. Sanchez M.:</t>
        </r>
        <r>
          <rPr>
            <sz val="9"/>
            <color indexed="81"/>
            <rFont val="Tahoma"/>
            <family val="2"/>
          </rPr>
          <t xml:space="preserve">
Para el segundo semestre del año 2022, se cumple la meta nacional, obteniéndose en la seccional el 5,96%. De un total de 244 beneficiados con recursos (Económicos, Tecnológicos, otros), de acuerdo al total de la comunidad uniibrista,  que fue  de 4.092,    distribuidos así:
*  Desde las secretarías académicas por reglamento estudiantil, se hizo entrega de 120 becas a los estudiantes que cumplen requisitos para matricula de honor.
* Se realiza seguimiento y apoyo a 45 estudiantes que ingresan por el programa de Risaralda Profesional.
* Se realiza la entrega del beneficio de almuerzos, en donde se impactan a 23 estudiantes en situación vulnerabilidad en el mes de agosto y 56 estudiantes en el mes de Septiembre de 2022.</t>
        </r>
      </text>
    </comment>
    <comment ref="E38" authorId="1" shapeId="0">
      <text>
        <r>
          <rPr>
            <b/>
            <sz val="9"/>
            <color indexed="81"/>
            <rFont val="Tahoma"/>
            <family val="2"/>
          </rPr>
          <t>Gloria A. Sanchez M.:</t>
        </r>
        <r>
          <rPr>
            <sz val="9"/>
            <color indexed="81"/>
            <rFont val="Tahoma"/>
            <family val="2"/>
          </rPr>
          <t xml:space="preserve">
Durante el primer semestre de  2022  no se cumplió la meta del 2% de los egresados que participaron en actividades institucionales y/o académicas, se obtuvo un resultado de 0,72%, con una participación de 167 egresados  frente al total de  23256 egresados. 
Se realizaron 39 eventos,  con un cumplimiento en la ejecución de actividades frente a lo planeado de un 100% (Pregrado:  15760  y Posgrado:  7496) egresados (incluye los fallecidos) en la presente vigencia 2022-1
Las actividades realizadas con egresados son resultado de un trabajo en  equipo con las Facultades, bienestar y el área de egresados.</t>
        </r>
      </text>
    </comment>
    <comment ref="K38" authorId="1" shapeId="0">
      <text>
        <r>
          <rPr>
            <b/>
            <sz val="9"/>
            <color indexed="81"/>
            <rFont val="Tahoma"/>
            <family val="2"/>
          </rPr>
          <t>Gloria A. Sanchez M.:</t>
        </r>
        <r>
          <rPr>
            <sz val="9"/>
            <color indexed="81"/>
            <rFont val="Tahoma"/>
            <family val="2"/>
          </rPr>
          <t xml:space="preserve">
Durante el segundo semestre del año 2022 se realizaron 48 eventos en los cuales participaron 432 egresados de las diferentes disciplinas, de un total 24,184 en la Seccional, con un porcentaje de cumplimiento del 1,79, no se cumplió la meta estándar del 2%, sin embargo mejoró el resultado para este período con respecto al periodo anterior, cumpliéndose con el rango bueno.
Las actividades realizadas con egresados son resultado de un trabajo en equipo con las Facultades, Bienestar Universitario y la Oficina de Egresados, además de lo anterior, el Área de Egresados conjuntamente con el Tribunal Superior de Pereira, realizó un encuentro denominado "Especialidad Civil y de Familia", con una participación de 82 egresados, dato estadístico que está incluido en el número de egresados participantes en los eventos.
Como oportunidad de mejora, se continuará incentivando a los egresados en la participación de eventos</t>
        </r>
      </text>
    </comment>
    <comment ref="E39" authorId="1" shapeId="0">
      <text>
        <r>
          <rPr>
            <b/>
            <sz val="9"/>
            <color indexed="81"/>
            <rFont val="Tahoma"/>
            <family val="2"/>
          </rPr>
          <t>Gloria A. Sanchez M.:</t>
        </r>
        <r>
          <rPr>
            <sz val="9"/>
            <color indexed="81"/>
            <rFont val="Tahoma"/>
            <family val="2"/>
          </rPr>
          <t xml:space="preserve">
Para este primer semestre del año 2022, se registraron 68 egresados activos en la plataforma "Talento Unilibrista". No obstante, mientras no se logre mejorar la cultura de vinculación tanto de postulantes como de empresas oferentes, se continuará realizando de forma manual la intermediación laboral. Durante 2022-1 se recibieron y difundieron a través de correo electrónico 70 vacantes de empresas solicitantes.
Se reciben las hojas de vida de los profesionales egresados de la Seccional,
Las solicitudes de empresas gestionadas fueron 70
las hojas de vida recibidas fueron : 7
Egresados que hacen parte de a Bolsa de empleo: 68 frente a 23.256 egresados de la seccional con corte a 2022-1
Se trabaja en equipo con la Facultades, el Consultorio Empresarial -Prácticas y Emprendimiento de CEIDEUL.
Se observa un avance positivo con respecto al periodo anterior de egresados activos en la plataforma "Talento Unilibrista", se espera para el segundo periodo incrementar exponencialmente la vinculación tanto de postulantes como de empresas.</t>
        </r>
      </text>
    </comment>
    <comment ref="K39" authorId="1" shapeId="0">
      <text>
        <r>
          <rPr>
            <b/>
            <sz val="9"/>
            <color indexed="81"/>
            <rFont val="Tahoma"/>
            <family val="2"/>
          </rPr>
          <t>Gloria A. Sanchez M.:</t>
        </r>
        <r>
          <rPr>
            <sz val="9"/>
            <color indexed="81"/>
            <rFont val="Tahoma"/>
            <family val="2"/>
          </rPr>
          <t xml:space="preserve">
Para este segundo semestre del año 2022, se registraron 193 egresados activos en la plataforma "Talento Unilibrista". De acuerdo con estrategia implementada en la seccional se han identificado 5 graduados vinculados laboralmente a través de la Bolsa de Empleo, equivalente al 2.59%, cumpliendo con el rango bueno del indicador, como acción de mejora se continuará con la estrategia anteriormente mencionada con el fin de tener el dato real de los graduados efectivamente vinculados, ya que el software no arroja esta información.
Se ha difundido a través de correos electrónicos, WhatsApp, la información sobre la bolsa de Empleo, sin embargo, se continúa enviando las ofertas laborales a los correos electrónicos de los egresados, mientras se fortalece el uso del sistema por parte de egresados y de estudiantes.
Durante el segundo semestre de 2022 se empezó a implementar la recepción de las hojas de vida, para posteriormente enviarla a las empresas solicitantes, esto con el fin de llevar la trazabilidad de oferta, demanda y empleabilidad, como mecanismo de actualización de datos en el sistema Adviser.
Las solicitudes de empresas gestionadas fueron: 77 (fueron tramitadas también por correo electrónico).
Hojas de vida recibidas : 30
Se trabaja en equipo con la Facultades, el Consultorio Empresarial -Prácticas y Emprendimiento de CEIDEUL.
La plataforma "Talento Unilibrista" no genera reporte por seccional, por lo cual se hizo la solicitud a Sandra Castellanos de Qdit, quien se encuentra gestionando el desarrollo de la aplicación, de tal modo que cada seccional pueda generar estadísticas.</t>
        </r>
      </text>
    </comment>
    <comment ref="E40" authorId="1" shapeId="0">
      <text>
        <r>
          <rPr>
            <b/>
            <sz val="9"/>
            <color indexed="81"/>
            <rFont val="Tahoma"/>
            <family val="2"/>
          </rPr>
          <t>Gloria A. Sanchez M.:</t>
        </r>
        <r>
          <rPr>
            <sz val="9"/>
            <color indexed="81"/>
            <rFont val="Tahoma"/>
            <family val="2"/>
          </rPr>
          <t xml:space="preserve">
En la Seccional se obtuvo un resultado de 46,21% en la actualización de la base de datos de egresados (acumulativa). Durante el primer semestre del año 2022, se realizó actualización de 484 datos de egresados, de un total de 10.746, este dato estadístico corresponde a la cantidad por cada egresado que tiene actualizado sus datos. Los 13.792 reportados en la vigencia 2021, es mayor debido a que se reportó por cantidad de correos en la base de datos, (cada egresado puede tener dos o más correos registrados). Lo anterior, teniendo en cuenta que la población de egresados para el 2022-1 fue de 23.256 en bases de datos que reposa en la oficina de egresados, la cual se actualiza con información recibida por registro y control (dato que es reportado por el aplicativo SINU - egrf09). El dato por cada modalidad se toma de la Base de Egresados de la siguiente manera: (Pregrado: 7452, Especialización: 2,946, Maestría: 377, Tecnología Inv Criminal 27) (incluye los egresados fallecidos), la actualización se realiza a través de las siguientes fuentes de información: link de la página web, aplicación de encuesta, realización de eventos, también se actualiza incluyendo en la base los nuevos egresados remitidos por registro y control, contacto directo y Adviser.
Es importante informar que a partir del 2021-2, se implementó para todo el país, el sistema de adviser para la actualización de egresados: Se actualizaron por este medio 279 para 2022-1 (Total egresados desde su inicio en el periodo anterior 390 2021-2 111)</t>
        </r>
      </text>
    </comment>
    <comment ref="K40" authorId="1" shapeId="0">
      <text>
        <r>
          <rPr>
            <b/>
            <sz val="9"/>
            <color indexed="81"/>
            <rFont val="Tahoma"/>
            <family val="2"/>
          </rPr>
          <t>Gloria A. Sanchez M.:</t>
        </r>
        <r>
          <rPr>
            <sz val="9"/>
            <color indexed="81"/>
            <rFont val="Tahoma"/>
            <family val="2"/>
          </rPr>
          <t xml:space="preserve">
Durante el segundo semestre del año 2022 se realizó actualización de 553 datos de egresados, obteniéndose un total de 11.299 , siendo mayor la actualización llevada a cabo entre octubre y diciembre, meses en los cuales se empezó a implementar el uso del WhatsApp y se realizó una mayor difusión del Sistema Adviser, envío de correos electrónicos, fijación en las carteleras de las Facultades del Código QR, tanto de Adviser como de la Bolsa de Empleo.
La base de datos de Egresados se actualiza inicialmente , con la información reportada por la oficina de Registro y Control, según las fechas de grados; la cual no está incluida dentro de las estadísticas de actualización, sino en el total de Graduados, posteriormente se envía correo electrónico a cada uno de los egresados con el fin de darles a conocer los beneficios que la Universidad les ofrece, adjuntando el código QR y el link para que se registren; desde el momento en que se inicia la comunicación con el(a) graduado(a), se actualiza el archivo en Excel (BDD 1974), y en el caso en que el registro lo haga directamente en la plataforma Adviser, automáticamente se genera un archivo plano con el cual se procede a la actualización de la misma base BDD 1974 . Además, se actualiza con los datos de listas de asistencia a diferentes eventos, donde se filtra los egresados por WhatsApp y correo electrónico se envía la información para las respectivas (actualizaciones).
Comparativamente con el semestre anterior, se obtuvo un incremento del 25% en las actualizaciones, correspondiente a que se ha logrado mayor culturización en el uso del sistema Adviser, el cual se empezó a implementar a partir del año 2021-2; para dicho periodo 205 egresados se registraron, lo que representa un crecimiento en el uso del sistema de un 269%, gracias a las campañas realizadas a través del micrositio, el WhatsApp, los correos electrónicos y la atención personalizada.
Desde la Coordinación de Egresados y con el apoyo del Presidente y Rector Seccional, se empezará a implementar a partir del año 2023 como requisito de grado, tanto de pregrado como de posgrado, el registro en Adviser, junto con el diligenciamiento de la encuesta OLE, esto significa que a partir del próximo año, el sistema estará actualizado simultáneamentecon la oficina de Registro y Control, facilitando el acceso y actualización de la información.</t>
        </r>
      </text>
    </comment>
    <comment ref="E41" authorId="1" shapeId="0">
      <text>
        <r>
          <rPr>
            <b/>
            <sz val="9"/>
            <color indexed="81"/>
            <rFont val="Tahoma"/>
            <family val="2"/>
          </rPr>
          <t>Gloria A. Sanchez M.:</t>
        </r>
        <r>
          <rPr>
            <sz val="9"/>
            <color indexed="81"/>
            <rFont val="Tahoma"/>
            <family val="2"/>
          </rPr>
          <t xml:space="preserve">
Se incumple la meta nacional del 2%, obteniéndose un resultado en la seccional del 0,30%. lo anterior fue por la participacion de 70 egresados actividades realizadas en el área de deportes del proceso de Bienestar Universitario frente al total de 23256 egresados . En primer semestre de 2022, se realizaron 4 eventos; allí, se generan espacios de encuentros y diálogo con este importante estamento.
Al invitar a los egresados a participar de los eventos deportivos, artísticos, académicos y culturales, en unión con los demás Unilibristas, se les invita también a ?vivir la vida universitaria? y a ser parte del mejoramiento continuo y del crecimiento de la Universidad en forma activa apoyando los proyectos institucionales.</t>
        </r>
      </text>
    </comment>
    <comment ref="K41" authorId="1" shapeId="0">
      <text>
        <r>
          <rPr>
            <b/>
            <sz val="9"/>
            <color indexed="81"/>
            <rFont val="Tahoma"/>
            <family val="2"/>
          </rPr>
          <t>Gloria A. Sanchez M.:</t>
        </r>
        <r>
          <rPr>
            <sz val="9"/>
            <color indexed="81"/>
            <rFont val="Tahoma"/>
            <family val="2"/>
          </rPr>
          <t xml:space="preserve">
En el segundo semestre del año 2022, participaron en lasa actividades de bienestar 218 egresados, de un total de 24184 equivalente al 0.90%. Con respecto al periodo anterior se puede observar un aumento significativo pasando de 70 a 218 egresados participantes, es importante destacar que el personal administrativo que es egresado de la Universidad fue tenido en cuenta en las estadísticas de Bienestar Universitario.
Bienestar Universitario
? Área egresados:110
? Área de salud: 8
? Área Desarrollo humano: 3
? Área PPC: No hubo reporte
? Área Deportes: 15
? Área cultura: 82
? Área promoción socioeconómica: No hubo reporte
Las invitaciones a participar en los diferentes eventos son enviadas vía correo electrónico a todo los graduados sin excepción, al igual que la promoción de los beneficios.</t>
        </r>
      </text>
    </comment>
    <comment ref="D42" authorId="0" shapeId="0">
      <text>
        <r>
          <rPr>
            <b/>
            <sz val="9"/>
            <color indexed="81"/>
            <rFont val="Tahoma"/>
            <family val="2"/>
          </rPr>
          <t>Gloria Amparo Sanchez:</t>
        </r>
        <r>
          <rPr>
            <sz val="9"/>
            <color indexed="81"/>
            <rFont val="Tahoma"/>
            <family val="2"/>
          </rPr>
          <t xml:space="preserve">
RANGO BUENO: 70% -80%</t>
        </r>
      </text>
    </comment>
    <comment ref="E42" authorId="1" shapeId="0">
      <text>
        <r>
          <rPr>
            <sz val="7"/>
            <color theme="1"/>
            <rFont val="Arial"/>
            <family val="2"/>
          </rPr>
          <t xml:space="preserve">AÑO 2022: Se cumple la meta nacional, donde el resultado en la ejecución de las 17 actividades programadas en los proyectos 21 y 22 del PIDI fue en promedio del 94,12%, distribuidas así: 
Proyecto 21: 5 acciones y 11 actividades --- 97% de cumplimiento
Proyecto 22:  4 acciones y 6 Actividades---- 93% cumplimiento
Las actividades desarrolladas  en cada uno de los proyectos fueron: 
Proyecto 21
1. Acompañamiento a los procesos para realizar ajustes a los documentos por solicitudes de cambio.
2. Actualizar anualmente la herramienta de comunicaciones por los 16 procesos del SGC para identificar las comunicaciones internas y externas que se realizan en los procesos y evaluar su efectividad a través del plan de comunicación institucional.
3. Integrar las 4 facultades de la Seccional al SGC
4. Realizar las auditorías internas y externas para verificar el cumplimiento de normatividad y satisfacción del cliente.
5. Formular, implementar y hacer seguimiento al cierre eficaz de acciones correctivas y/o acciones de mejoramiento y registrar la información en el Sistema de Información de Calidad KAWAK.
6. Identificar nuevos cambios que afecten positiva o negativamente la universidad en cada uno de los procesos y las actividades para su ejecución.
7. Identificar nuevos riesgos y oportunidades de mejora para mitigarlos y/o controlarlos – Hacer seguimiento a la implementación de acciones
8. Realizar seguimiento al registro y cumplimiento de indicadores de gestión y acuerdos de servicio.
9. Realizar Revisión Gerencial anual como rendición de cuentas del estado de los procesos.
10. Elaborar y realizar cronogramas de acompañamiento con los procesos con el fin de sostenimiento y mantenimiento del SGC.
11. Formular e implementar acciones de mejora en cada uno de los procesos de acuerdo con resultados de auditoria externa
Proyecto 22
1. Formular e implementar oportunidades de mejora para la vigencia 2022 en cada uno de los procesos, que impacten positivamente la Universidad en cada uno de ellos.
2. Realizar acompañamientos y capacitaciones a los líderes de proceso y equipos de trabajo relacionados al SGC:
• Gestión del riesgo 
• Gestión del cambio
• Gestión de la comunicación
• Indicadores 
• Auditorias internas
• Oportunidades de mejora
• Revisión gerencial
3. Seguimiento a la elaboración e implementación del plan de incentivos.
4. Formular e implementar oportunidades de mejora de acuerdo a resultados de encuesta de satisfacción aplicada en noviembre y diciembre de 2021
5. Continuar con el seguimiento a la atención a peticiones, quejas, reclamos y denuncias (PQRSD) generando acciones correctivas o de mejora.
6. Continuar realizando seguimiento, control y medición a las calificaciones del servicio y servicios no conformes.
</t>
        </r>
      </text>
    </comment>
    <comment ref="D44" authorId="0" shapeId="0">
      <text>
        <r>
          <rPr>
            <b/>
            <sz val="9"/>
            <color indexed="81"/>
            <rFont val="Tahoma"/>
            <family val="2"/>
          </rPr>
          <t>Gloria Amparo Sanchez:</t>
        </r>
        <r>
          <rPr>
            <sz val="9"/>
            <color indexed="81"/>
            <rFont val="Tahoma"/>
            <family val="2"/>
          </rPr>
          <t xml:space="preserve">
RANGO BUENO: 0,20</t>
        </r>
      </text>
    </comment>
    <comment ref="E44" authorId="1" shapeId="0">
      <text>
        <r>
          <rPr>
            <b/>
            <sz val="9"/>
            <color indexed="81"/>
            <rFont val="Tahoma"/>
            <family val="2"/>
          </rPr>
          <t>Gloria A. Sanchez M.:</t>
        </r>
        <r>
          <rPr>
            <sz val="9"/>
            <color indexed="81"/>
            <rFont val="Tahoma"/>
            <family val="2"/>
          </rPr>
          <t xml:space="preserve">
2022-1: Se cumplió la meta estándar nacional "Máximo que el 20% de las quejas del semestre sean recurrentes.". Durante el primer semestre de 2022,  de un total de 60 PQRSD, se presentaron 3 recurrentes, equivalente al 5,00%, por las siguientes razones:  Inconformidad en los nuevos horarios del gimnasio muy restringidos, solicitud de techos en entradas a sitios de Belmonte y  por la falta de cafetería en el edificio de posgrados (mes de mayo) </t>
        </r>
      </text>
    </comment>
    <comment ref="K44" authorId="1" shapeId="0">
      <text>
        <r>
          <rPr>
            <b/>
            <sz val="9"/>
            <color indexed="81"/>
            <rFont val="Tahoma"/>
            <family val="2"/>
          </rPr>
          <t>Gloria A. Sanchez M.:</t>
        </r>
        <r>
          <rPr>
            <sz val="9"/>
            <color indexed="81"/>
            <rFont val="Tahoma"/>
            <family val="2"/>
          </rPr>
          <t xml:space="preserve">
2022-2: Se cumplió la meta estándar nacional "Máximo que el 20% de las quejas del semestre sean recurrentes.". Durante el segundo semestre de 2022,  de un total de 51 PQRSD, se presentaron 3 recurrentes, equivalente al 5,88%, por las siguientes razones:  1 Queja recurrrente   por falta de aire acondicionado de la biblioteca  de Belmonte  no funciona  y por  Iluminarias malas en la Biblioteca de la sede Belmonte - Estudiante de ingeniería civil - Queja por servicios de cafetería en posgrados  . </t>
        </r>
      </text>
    </comment>
    <comment ref="D45" authorId="0" shapeId="0">
      <text>
        <r>
          <rPr>
            <b/>
            <sz val="9"/>
            <color indexed="81"/>
            <rFont val="Tahoma"/>
            <family val="2"/>
          </rPr>
          <t>Gloria Amparo Sanchez:</t>
        </r>
        <r>
          <rPr>
            <sz val="9"/>
            <color indexed="81"/>
            <rFont val="Tahoma"/>
            <family val="2"/>
          </rPr>
          <t xml:space="preserve">
RANGO BUENO: 80% - 90%</t>
        </r>
      </text>
    </comment>
    <comment ref="E45" authorId="1" shapeId="0">
      <text>
        <r>
          <rPr>
            <sz val="9"/>
            <color indexed="81"/>
            <rFont val="Tahoma"/>
            <family val="2"/>
          </rPr>
          <t xml:space="preserve">2022-1: Durante el primer semestre de 2022 , a través de la página web de la Universidad (KAWAK), se  presentaron 60  PQRSD en los procesos;  de los cuales 40 fueron quejas y Derechos de petición,  18  solicitudes y/o peticiones o requerimientos Y 2 FELICITACIONES:,  las cuales se tramitaron a través del software KAWAK, 51 se respondieron en el tiempo establecido equivalente al 85%,   57 PQRSD se cerraron  (95%),   3 están en proceso (5%)  por techos que solicitan instalar en belmonte y que se tienen presupuestados para la vigencia 2023 )  y 3  fueron recurrentes (5%) por inconformidad en los nuevos horarios del gimnasio muy restringidos, solicitud de techos en entradas a sitios de Belmonte y  por la falta de cafetería en el edificio de posgrados (mes de mayo) . Las Tutelas se responden a través de la Secretaría Seccional y los Derechos de petición los respondieron los líderes de proceso respectivos  y se registran posteriormente en el kawak por cada una de las áreas académicas y administrativas
DOCENCIA
* Faculta de Derecho Ciencias Políticas y Sociales
1. Queja para aclaración de nota
2. Solicitud de documentación enviada para el proceso de homologación optativa IV de quinto año de derecho
3. Solicitud de situación académica y plan de trabajo
4. D.P. Autorización para ver módulo de control de legalidad que debo aprobar, como prerrequisito para optar al grado de especialista en Derecho urbano gestión y planeamientos inmobiliarios
5.- 6 Queja. Docente no garantiza el derecho a presentar un parcial teniendo un problema médico
7. Solicitud información de preparatorio
8. Reitero de solicitud de autorización para realizar posgrado como opción de grado
9. Solicitud de información Opciones de grado
10. D. Petición: Solicitud entrega de documentos del Dr. Eduardo Humberto Sanz Gutiérrez para proceso investigativo
* Facultad de Ciencias de la Salud, Exactas y Naturales
11. Queja por demora Ingreso al sistema de información dosis refuerzo Mi Vacuna
12. Demora en Certificado de prácticas programa de Enfermería
* Esp Derecho del trabajo pensiones y riesgos laborales
13. Felicitaciones director programa especialización derecho del trabajo pensiones y riesgos laborales
* Esp. Derecho Urbano, Gestión y planeamientos inmobiliarios
14. Petición alternativas asistencia clases Esp. Derecho Urbano, Gestión y planeamientos inmobiliarios
* Maestría en Derecho administrativo:
15. Solicitud de programación de módulo y fecha de grado
GESTIÓN DE ADMISIONES Y REGISTROS
* Queja por Inconveniente de inscripción
* Queja por Demora en la entrega o envió de contenidos de materias solicitados
* Solicitud información Verificación de título
* Solicitud de información para solicitar siguientes documentos que requiere por tramite que debo realizar para viaje al extranjero
* Solicitud de validación de acta de grado Especialista en salud ocupacional, gerencia y control de riesgos
* Mi inscripción no deja culminarla especialización en derecho procesal
GESTIÓN DE SERVICIOS GENERALES
* Queja por falta de techo peatonal sede Belmonte
* Mantenimiento por goteo en salón 301 de posgrados
* Solicitud de mesa de bebidas en aula de postgrado Alta Gerencia
* Petición instalación techo: Adecuar el camino desde la portería de Belmonte hasta el bloque de laboratorio
INVESTIGACIONES
* Solicitud de Investigación y propuesta de Proyecto de Ley: Pérdida de bienes raíces a causa de la violencia armada y las guerras
* Derecho de petición: Solicitud información frente a la convocatoria joven investigador
DIRECCIÓN ESTRATÉGICA
* 1. D.P. Solicitud de información sobre costo de servicios contratados
* Invitación al ?1er foro DIVERSIDAD como motor del desarrollo turístico de la región"
* Devolución de Dinero de matrícula para ingresar a Administración de empresas
GESTIÓN HUMANA
1. D.P. Solicitud copia de expediente (Enviado por correo electrónico)
2. D.P. Solicitud de certificación electrónicos de tiempos laborados (Enviado por correo electrónico)
3. Derecho de petición semanas aportadas al sistema pensional
4. D. Petición: Solicitud entrega de documentos del Dr. Eduardo Humberto Sanz Gutiérrez para proceso investigativo
GESTIÓN DE INFORMÁTICA
1. Queja por no alistamiento de equipo y demora en el inicio del portátil
2. Queja por correos peligrosos
3. Solicitud de ayuda problemas de autenticación correo institucional
PROYECCIÓN SOCIAL
* Consultorio Jurídico y centro de conciliación
1. Solicitud de asesoría jurídica y psicológica
2. Necesito me recomiende un Abogado Penalista. He sido estafada mediante Tarjeta de Crédito.
BIENESTAR UNIVERSITARIO
1. Solicitud información Proyecto Circulo virtuoso (Bolsa de empleo)
2. D.P. para modificación horario o extender del gimnasio (Enfermería)
3. D.P. para modificación horario o extender del gimnasio (Ing Civil)
4. D.P. para modificación horario o extender del gimnasio (Ing Comercial)
5. D.P. para modificación horario o extender del gimnasio (Ing Civil)
6. D.P. para modificación horario o extender del gimnasio (Ing Civil)
7. D.P. para modificación horario o extender del gimnasio (Ing Civil)
8. D.P. para modificación horario o extender del gimnasio (Derecho)
9. D.P. para modificación horario o extender del gimnasio (Ing Civil)
10. D.P. para modificación horario o extender del gimnasio (Ing Civil)
11. D.P. para modificación horario o extender del gimnasio (Ing Civil)
12. D.P. para modificación horario o extender del gimnasio (Ing Civil)
13. Derecho de petición para modificación horario o extender del gimnasio (Ing Civil)
14. D.P. para modificación horario o extender del gimnasio (Ing Civil)
15. D.P. para modificación horario o extender del gimnasio (Ing Civil)
16. Requerimiento Ampliación de horario del gimnasio - Facultad de Ciencias económicas, administrativas y contables
17. Sugerencia acciones de mejora: Cafetería, baños, parqueadero
18 Queja y Solicitud habilitación de Cafetería edificios posgrados - Especialización en Derecho Procesal
19. Precios altos de la Cafetería - Estudiante de Ing. Comercial
20. Solicitud Cafetería en posgrados - Especialización Laboral , Pensiones y Riesgos para modificación horario o extender del gimnasio (Ing Civil)
14. D.P.  para modificación horario o extender del gimnasio (Ing Civil)
15. D.P.  para modificación horario o extender del gimnasio (Ing Civil)
16. Requerimiento Ampliación de horario del gimnasio -  Facultad de Ciencias económicas, administrativas y contables
17. * Sugerencia acciones de mejora: Cafetería, baños, parqueadero
18 Queja y Solicitud habilitación de Cafetería edificios posgrados - Especialización en Derecho Procesal
19. Precios altos de la Cafetería - Estudiante de Ing. Comercial
20. Solicitud Cafetería en posgrados - Especialización Laboral , Pensiones y Riesgos
</t>
        </r>
      </text>
    </comment>
    <comment ref="K45" authorId="1" shapeId="0">
      <text>
        <r>
          <rPr>
            <b/>
            <sz val="9"/>
            <color indexed="81"/>
            <rFont val="Tahoma"/>
            <family val="2"/>
          </rPr>
          <t>Gloria A. Sanchez M.:</t>
        </r>
        <r>
          <rPr>
            <sz val="9"/>
            <color indexed="81"/>
            <rFont val="Tahoma"/>
            <family val="2"/>
          </rPr>
          <t xml:space="preserve">
SEGUNDO SEMESTRE:  Durante el segundo semestre de 2022 , a través de la página web de la Universidad (KAWAK), se han presentado 51 PQRSD en los procesos;  de los cuales 32 han sido quejas y Derechos de petición,  18  solicitudes y/o peticiones o requerimientos y 1 felicitación:, las cuales se tramitaron a través del software KAWAK, 43 se respondieron en el tiempo establecido equivalente al 84%,   51 PQRSD se cerraron  (100%),   en proceso (0%) y 3  han sido recurrentes (6%) 1 Queja recurrente   por falta de aire acondicionado de la biblioteca  de Belmonte  no funciona  y por  Iluminarias malas en la Biblioteca de la sede Belmonte - Estudiante de ingeniería civil - Queja por servicios de cafetería en posgrados  . Las Tutelas se responden a través de la Secretaría Seccional y los Derechos de petición los respondieron los líderes de proceso respectivos y se registran posteriormente en el kawak por cada una de las áreas académicas y administrativas
1. DOCENCIA
* Facultad de Ciencias Económicas, administrativas y contables
   Revisión traslado sin respuesta desde el 27 de mayo (Administración de empresas)
Facultad de Derecho Ciencias políticas y sociales
* Derecho de petición a fin de validar los requisitos de grado; certificación segunda lengua programa de Derecho
* Me he pasado varios momentos insistiendo la contestación de una llamada y ha sido fracasado el intento. Por eso de manera respetuosa le solicitó a quien corresponda que no dejes la costumbre de la comunicación vía telefónica es la más asertiva da más celeridad en los procesos y para los usuarios es mayor y mejor la claridad la información.
* Requisito 2a. Lengua JACKSON ALEJANDRO PELAEZ CASTAÑEDA. Maestría en Derecho Penal
* Solicitud programa de formación continuada (Diplomado en conciliación y en Docencia universitaria para monitores – programa de Derecho)
* Derecho de petición:  Solicitud de corrección de nota con profesor diferente al que dio la materia
Facultad de Ingenierías
* Denuncia contra el profesor CESAR AUGUSTO GIRALDO, del programa ingeniería civil Seccional Pereira, por la constancia de abusos
*  No ha recibido respuesta de la denuncia contra el profesor CESAR AUGUSTO GIRALDO, del programa ingeniería civil Seccional Pereira, por la constancia de abusos
Facultad de ciencias de la salud exactas y naturales
*  Ausencia de una opción dentro de la página (Micro currículos)
* Queja porque no la han dado información sobre revisión carga dosis de vacunación
Especialización de derecho procesal probatorio y oralidad
* Queja contra Ángela María Henao Mejía - especialización de derecho procesal probatorio y oralidad cohorte 11
2. GESTIÓN DE ADMISIONES Y REGISTROS
*  No se me dejó inscribir materias de manera oportuna (Derecho semestral izado)
* Solicitud de Certificación de reporte del grado ante el Ministerio de Educación Nacional
3. GESTIÓN FINANCIERA
* La tesorería no realizó el trabajo pertinente con el ICETEX (Derecho semestral izado)
* Reclamo Beca
4. PROYECCIÓN SOCIAL
* Derecho de petición: Desde hace tiempo atrás solicite en medió en consultorio Jurídico para que ayudará en temas relacionados en interponer una RECURSO DE acción de Tutela y nunca se comunicaron conmigo
* Solicitud de información sobre relación de todos y cada uno de los estudiantes de la universidad libre de la ciudad de Pereira que hicieron consultorio jurídico, en la vigencia 2019, y a los que les fue autorizado o avalado la práctica al interior del Establecimiento Penitenciario de Mediana Seguridad y Carcelario de SANTA ROSA DE CAVAL como
requisito de grado para obtener el título de abogado
* Desde el día 7 diciembre a tratado de comunicarse para Revisión casos consultorio jurídico
5.  DIRECCIÓN ESTRATÉGICA
* Solicitud Beca especialización de Administración Financiera
* D.P. Articulo 23 CP: Solicitud información sobre contrato de mantenimiento arreglos Biblioteca - Sede Centro
* D.P. Solicitud de información de Eco ciudadano sobre el manejo del acoso en la Unilibre
6.  BIENESTAR UNIVERSITARIO
* Solicitud Cafetería en posgrados - Especialización en SEGURIDAD Y SALUD EN EL TRABAJO Y GERENCIA CONTROL DE RIESGOS
* (2) Solicitud información de asistencia a inducción estudiantes de Lucy Ivonne Benavides
* Área de Egresados:  Queja no entrega carnet de egresado del programa de Derecho
*Solicitud de información Bolsa de empleo
* (7) Queja servicio de cafetería en Posgrados - Especialización en Seguridad y Salud en el trabajo
7. INVESTIGACIÓN:
• Derecho de petición -Solicitud de evaluaciones docentes 2020 al 2022 y reconocimiento por clasificación como investigador (Facultad de Ciencias Económicas, administrativas y contables)
• Derecho de petición - Solicitud información sobre convocatoria de jóvenes investigadores 2021 
8. INTERNACIONALIZACIÓN:
*Solicitud de intercambio académico en la Universidad Autónoma de Chiapas- Programa de trabajo social
9. GESTIÓN DE BIBLIOTECA
Comodidades biblioteca
10.  SERVICIOS GENERALES
* Falta de aire acondicionado en la Biblioteca - Ingeniería civil
* Falta de aire acondicionado en la Biblioteca - Ingeniería civil
* Aire acondicionado de biblioteca no funciona - Ingeniería civil
* Aire acondicionado de biblioteca- Ingeniería civil
*  Inconformidad por falta de aire acondicionado en la Biblioteca de Belmonte
* Queja por falta de aire acondicionado de la biblioteca no funciona
* (3) Iluminarias malas en la Biblioteca de la sede Belmonte 
* Solicitud de habilitación de parqueaderos de automóviles sede centro
* Solicitud cargadores eléctricos para bicicletas eléctricas - Ing. Financiera
</t>
        </r>
      </text>
    </comment>
    <comment ref="D46" authorId="0" shapeId="0">
      <text>
        <r>
          <rPr>
            <b/>
            <sz val="9"/>
            <color indexed="81"/>
            <rFont val="Tahoma"/>
            <family val="2"/>
          </rPr>
          <t>Gloria Amparo Sanchez:</t>
        </r>
        <r>
          <rPr>
            <sz val="9"/>
            <color indexed="81"/>
            <rFont val="Tahoma"/>
            <family val="2"/>
          </rPr>
          <t xml:space="preserve">
RANGO BUENO: 70%-80%</t>
        </r>
      </text>
    </comment>
    <comment ref="E46" authorId="1" shapeId="0">
      <text>
        <r>
          <rPr>
            <sz val="9"/>
            <color indexed="81"/>
            <rFont val="Tahoma"/>
            <family val="2"/>
          </rPr>
          <t>2022-1: Se cumplió la meta estándar nacional "Responder dentro del tiempo establecido un 80% del total de quejas recibidas en el período", se obtuvo un resultado de 85,0%  de oportunidad en la respuesta a las PQRSD.  De un Total de 60 PQRSD presentadas en el primer  semestre, 51 de ellas fueron  respondidas  dentro del tiempo establecido.</t>
        </r>
      </text>
    </comment>
    <comment ref="K46" authorId="1" shapeId="0">
      <text>
        <r>
          <rPr>
            <b/>
            <sz val="9"/>
            <color indexed="81"/>
            <rFont val="Tahoma"/>
            <family val="2"/>
          </rPr>
          <t>Gloria A. Sanchez M.:</t>
        </r>
        <r>
          <rPr>
            <sz val="9"/>
            <color indexed="81"/>
            <rFont val="Tahoma"/>
            <family val="2"/>
          </rPr>
          <t xml:space="preserve">
2022-2: Se cumplió la meta estándar nacional "Responder dentro del tiempo establecido un 80% del total de quejas recibidas en el período", se obtuvo un resultado de 84,31%  de oportunidad en la respuesta.  De un Total de 51 PQRSD presentadas en el primer  semestre, 48 de ellas fueron  respondidas  dentro del tiempo establecido.</t>
        </r>
      </text>
    </comment>
    <comment ref="E48" authorId="1" shapeId="0">
      <text>
        <r>
          <rPr>
            <sz val="7"/>
            <color indexed="81"/>
            <rFont val="Tahoma"/>
            <family val="2"/>
          </rPr>
          <t xml:space="preserve">Año 2022: En el primer semestre del año (del 2 al 13 de mayo de 2022) se auditaron los 16 procesos inmersos en el Sistema de Gestión de Calidad (19 áreas teniendo en cuenta cada Facultad), a través de auditorias presenciales y solo Docencia - Facultad de Derecho Ciencias Políticas y Sociales auditada por el Ingeniero Federico García de la Seccional Cali, fue remota. Para la ejecución de las auditorías se contó con 15 auditores activos asignados a los diferentes procesos:
1. Jaime Alonso Vélez Mazo
2. Beatriz Elena Duran Gómez
3. Luis Hernando López Peñarete
4. Juan Manuel Cárdenas Restrepo
5. Luisa Fernanda Hurtado Castrillón
6. Carlos Andrés Mejía Vergara
7. Martha Beatriz Farfán Orozco
8. Gloria Amparo Sánchez Maldonado
9. Jaime Eduardo Uricoechea Bedoya
10. Jorge Enrique Ramírez Rincón
11. Carlos Alberto Atehortúa García
12. Ángela María Arias Toro
13. Claudia Liliana Piedrahita Castaño
14. Federico García López (Seccional Cali)
15. German Bedoya Cardona
16. Endna García Hernández
17. Diana Arango Isaza
Los resultados fueron: 5 hallazgos o no conformidades (NC) y 20 observaciones (OBS) u oportunidades de mejora, por lo cual en el segundo semestre del año, se trabajó con los líderes de proceso y equipos de trabajo en la formulación de 40 acciones de mejora, donde todas se encuentran cerradas equivalente al 100%. de ejecución.
Es importante señalar que a nivel nacional se auditó la norma NTC5906 del Ministerio de justicia con fines de certificación para el Centro de Conciliación del Consultorio Jurídico, a través de los procesos de proyección social, Gestión de servicios generales, gestión documental, gestión humana y gestión de informática.
</t>
        </r>
      </text>
    </comment>
    <comment ref="E49" authorId="1" shapeId="0">
      <text>
        <r>
          <rPr>
            <sz val="7"/>
            <color indexed="81"/>
            <rFont val="Tahoma"/>
            <family val="2"/>
          </rPr>
          <t xml:space="preserve">2022:  Se identificaron 51 cambios en los procesos de tipo:  Normativo: 12 -  Procesos y/o Métodos de Trabajo.: 26 - Tecnológico: 7 - Recurso Humano: 0 - Infraestructura, instalaciones y equipos: 5. Cambio en los servicios:1. Documental 0.   De los anteriores cambios se formularon 153 actividades en el plan de implementación de cambios  de las cuales 149 se han ejecutado, equivalente al 97,39% de cumplimiento.  Lo anterior a través del sistema de información de calidad KAWAK.  Los cambios pendientes por ejecutar al 100%, los cuales continuarán hasta su ejecución durante la vigencia 2023:  
1. Adecuación y puesta en marcha del programa de residuos de posconsumo en la seccional
2. Alistamiento para Certificar la Universidad en la ISO14001:2015
3. Ampliación del lugar de desarrollo del programa de Ingeniería Civil (Obtención resolución de modificación de registro calificado MEN)
4. Dotación tecnológica de los laboratorios especializados de Ing.Comercial, Financiera y Sistemas (Mejorar los procesos de docencia e  investigación)
</t>
        </r>
      </text>
    </comment>
    <comment ref="E50" authorId="1" shapeId="0">
      <text>
        <r>
          <rPr>
            <sz val="9"/>
            <color indexed="81"/>
            <rFont val="Tahoma"/>
            <family val="2"/>
          </rPr>
          <t xml:space="preserve">Año 2022: En la Seccional  durante el año 2022, se  identificaron  21 riesgos y  21  oportunidades para mitigar o eliminar los riesgos de tipo estratégico (3), operativo (10), tecnológico (3), normativo (4) y financiero (1), los cuales se encuentran registrados en el kawak  con un porcentaje de mitigación del 90,48%.  Los dos riesgos que aún se encuentran en proceso de mitigación y que continúan con el plan de tratamiento  son:
1. Riesgo: No acreditación del laboratorio de investigación del programa de Microbiologíaen ISO 17025
2. Riesgo: Que no se obtenga la certificación del centro de conciliación del consultorio jurídico bajo la norma NTC5906 de 2012
</t>
        </r>
      </text>
    </comment>
    <comment ref="E51" authorId="1" shapeId="0">
      <text>
        <r>
          <rPr>
            <sz val="9"/>
            <color indexed="81"/>
            <rFont val="Tahoma"/>
            <family val="2"/>
          </rPr>
          <t xml:space="preserve">Para el año 2022, la satisfacción de la comunidad Unilibrista frente a la calidad de los servicios prestados en la seccional Pereira fue de 286,29%, donde se tuvo en cuenta los siguientes ítems:
*Sumatoria total de la encuesta de satisfacción (1 a 5): 2.020 
*Número de encuestados:  649
*Número de quejas atendidas de manera eficiente (quejas recurrentes, cerradas y respuestas generadas oportunamente): 94
* Número total de PQRDF recibidas en el periodo: 111
* Sumatoria total de la calificación del servicio (1 a 5): 11.630
* Numero de calificaciones del servicio aplicadas a los procesos: 2816
Es importante tener en cuenta que la última encuesta que se ha realizado a nivel nacional fue en el año 2021 con un porcentaje de satisfacción para la seccional del 81%, con respecto a las PQRSDF, se contabilizó tanto las peticiones, quejas, reclamos, requerimientos, denuncias y felicitaciones que se presentaron en cada uno de los procesos, la calificación del servicio fue muy alta de 2816 con un porcentaje de satisfacción del 97,11%, de acuerdo a las herramientas seccionales como:  Link de la página web, mesa de ayuda en sistemas y formato de solicitud de servicio en servicios generales.
</t>
        </r>
      </text>
    </comment>
    <comment ref="E52" authorId="1" shapeId="0">
      <text>
        <r>
          <rPr>
            <b/>
            <sz val="9"/>
            <color indexed="81"/>
            <rFont val="Tahoma"/>
            <family val="2"/>
          </rPr>
          <t>Gloria A. Sanchez M.:</t>
        </r>
        <r>
          <rPr>
            <sz val="9"/>
            <color indexed="81"/>
            <rFont val="Tahoma"/>
            <family val="2"/>
          </rPr>
          <t xml:space="preserve">
Año 2022:  Durante el año 2022, se midieron 20 indicadores de acuerdos de servicio en los procesos administrativos, de los cuales 2 no cumplieron con la meta estándar nacional, pero sí con el rango bueno, equivalente al 90% en los procesos de aseguramiento de la calidad y Gestión Financiera:  Id 642. Aprobación de Documentos en el SIC dentro de los tiempos establecidos por el SIG, se incumplió debido a que en el sistema de kawak se requiere la aprobación y visto bueno por parte del líder de proceso antes del tiempo estipulado en el correo electrónico que envía la sede principal y ello ocasiona discrepancia en los tiempos, lo que no permite que se cumpla con la meta del indicador, como acción de mejora la sede principal envía a las seccionales los pendientes por aprobación con anticipación que contribuye a mejorar el cumplimiento de dichos tiempos y el indicador Id 432. Días Promedio Para el Trámite De Cuentas Giradas y/o Pagadas (Acuerdo), se debió entre otras a  razones como: Por cierre de año se recibieron facturas y documentos soportes desde el mes de noviembre y el pago se realizó en diciembre, por actas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a 30 días. ejemplo: Mantenimiento Ascensores, plantas, purificadores, servicio de vigilancia privada, servicio de Aseo. Las devoluciones de saldo a favor cuentan con un tiempo de 30 días para realizarlas.
Acuerdos Mensuales: 
1. ID 169: Días promedio para el trámite de cuentas por pagar
2. Id 306. Días Promedio para el Trámite de Cuentas Radicadas (Acuerdo) Seccional Pereira
3. Id 307. Días Promedio Para El Trámite de Cuentas Causadas y/o Registradas (Acuerdo). Seccional Pereira
4. Id 432. Días Promedio Para el Trámite De Cuentas Giradas y/o Pagadas (Acuerdo). Seccional Pereira
5. ID 354 Verificación del correcto funcionamiento de los equipos de cómputo al servicio de docentes y estudiantes (acuerdo)  
6. ID 355: Incidentes atendidos a los equipos de cómputo al servicio de docentes y estudiantes (Acuerdo) 
7. ID 353 Atención a requerimientos audiovisuales 
8. ID 193: Servicio de búsqueda y préstamo de Documentos (acuerdo)  
Trimestrales:
Id 642. Aprobación de Documentos en el SIC dentro de los tiempos establecidos por el SIG.
ID 308 Asignación de disponibilidad presupuestal (Acuerdo)  
Semestrales:
1. Id 142. Elaboración y entrega oportuna de las certificaciones y constancias académicas (Acuerdo) 
2. Id 141.Confiabilidad en la información de los certificados (AS)  
3. Id 156.  Días promedio para el Trámite de solicitudes  Compras por rango (Acuerdo)  
4. Id 108.  Atención médica y/o primaria en Enfermería (Acuerdo) 
5. Id 109. Atención Servicio de Psicología (Acuerdo) Seccional Pereira
6. Id 230. Expedición de certificaciones laborales Físicas (Acuerdo) Seccional Pereira
7. ID 380  Servicio de mantenimiento (Acuerdo) 
8. Id 383. Servicio de correspondencia (acuerdo de servicio)
Anuales:  
ID 735 Índice de crecimiento en el número de títulos adquiridos . Seccional Pereira(AS)    
Id 274. Proporción de volúmenes por alumno (AS)   
</t>
        </r>
      </text>
    </comment>
    <comment ref="E53" authorId="1" shapeId="0">
      <text>
        <r>
          <rPr>
            <b/>
            <sz val="9"/>
            <color indexed="81"/>
            <rFont val="Tahoma"/>
            <family val="2"/>
          </rPr>
          <t>Gloria A. Sanchez M.:</t>
        </r>
        <r>
          <rPr>
            <sz val="9"/>
            <color indexed="81"/>
            <rFont val="Tahoma"/>
            <family val="2"/>
          </rPr>
          <t xml:space="preserve">
Durante el año 2022, de un total de 69 indicadores de proceso estándar, se midieron 68 en las áreas académicas y administrativas (pendiente por medir el Id 234. Evaluación del desempeño (Seccional Pereira), de los cuales 4 no cumplieron con la meta estándar nacional, equivalente al 94,12% de cumplimiento, en los procesos de: Bienestar Universitario y Gestión Financiera:  Id 517. Participación de Egresados en Actividades Institucionales y/o Académicas. Sede Pereira - Id 523. Número de Graduados Vinculados en el Mercado Laboral (Mediante la Bolsa de Empleo). Sede Pereira - Id 630. Participación de Egresados en Actividades de Bienestar. Seccional Pereira - ID 301 Precisión en la elaboración del Presupuesto de inversión, en los cuales se están implementando las oportunidades de mejora correspondientes.
Los indicadores de proceso medidos se desagregan por periodicidad, así:
Indicadores de proceso Mensuales (4)
Id 419. Frecuencia de accidentalidad
Id 420. Severidad de accidentalidad
Id 421. Proporción de accidentes de trabajo mortales
ID 352 Atención a solicitudes de mantenimiento correctivo y preventivo de recursos informáticos
Trimestrales (2):
Id 621. Porcentaje de Participación del Personal Administrativo en el Plan de Capacitaciones. Seccional Pereira
Id 628. Nivel de Satisfacción de las Capacitaciones Realizadas. Seccional Pereira
Semestrales (36):
Id 143. Oportunidad en la entrega de notas
Id 157. Oportunidad en la entrega Seccional Pereira
Id 168. Cumplimiento (está relacionado con el grado de consecución de tareas y/o actividades de la auditoría Interna) Seccional Pereira
Id 272. Oportunidad en la inducción
484 - Nivel de consulta de recursos virtuales de las bases de datos de la Seccional Pereira
Id 106. Participación en programas de Salud Seccional Pereira
Id 107. Participación en programas Desarrollo Humano Seccional Pereira
Id 104. Participación en acciones culturales Seccional Pereira
Id 103. Participación en acciones deportivas y recreativas Seccional Pereira
Id 502. Participación en acciones de promoción socio-económica de la Seccional Pereira 
Id 509. Porcentaje de Beneficiados con Recursos (Económicos, Tecnológicos, otros) Seccional Pereira
Id 517. Participación de Egresados en Actividades Institucionales y/o Académicas. Sede Pereira
Id 523. Número de Graduados Vinculados en el Mercado Laboral (Mediante la Bolsa de Empleo). Sede Pereira
Id 529. Actualización de Bases de Datos de Egresados. Sede Pereira
Id 630. Participación de Egresados en Actividades de Bienestar. Seccional Pereira
ID 5 Quejas recurrentes por proceso
ID 6 Quejas cerradas en el período
ID 7 Quejas respondidas dentro del tiempo establecido
Id 304. Eficacia del recaudo en los créditos a través de entidades financieras
Id 233. Gestión de la Vinculación Administrativa. Seccional Pereira
ID 382:  Nivel de satisfacción en los servicios de mantenimiento prestados
Id 417. Porcentaje de docentes con Doctorado y/o Maestría Seccional Pereira (Las 4 Facultades)
ID67:  Promedio evaluación Docente de la Facultad Ciencias de la salud Exactas y naturales
ID64:  Promedio evaluación Docente de la Facultad Ciencias Económicas, administrativas y contables
ID66:  Promedio evaluación Docente de la Facultad Derecho Ciencias Políticas y sociales
ID65: Promedio evaluación Docente de la Facultad de Ingenierías
Id 441. Cumplimiento de Clases Presenciales y/o Virtuales Programadas en Pregrado Seccional Pereira (Las 4 Facultades)
Id 407. Evaluación cumplimiento actividades de los grupos de investigación de la Sede Pereira
Id 364. Evaluación del Desempeño del Estudiante de Práctica Empresarial. Seccional Pereira
Id 537. Eficiencia en la Asignación de Prácticas Empresariales. Seccional Pereira
Id 558. Porcentaje de empresas con Seguimiento (Virtual y/o Presencial) en Prácticas Empresariales. Seccional Pereira
Id 570. Programa de Educación Continua Ofertados (diplomados, foros, cursos, talleres, congresos, seminarios, simposios, conferencias, entre otros). Seccional Pereira
Id 587. Nivel de la Demanda de Centro de Conciliación. Seccional Pereira
Id 591. Nivel de Atención oportuna de PQRs realizadas al Centro de Conciliación. Seccional Pereira
Id 592. Nivel de Satisfacción con los servicios prestados por el Centro de Conciliación. Seccional Pereira
Id 593. Jornadas de Atención Integral a las Comunidades. Seccional Pereira
Anuales(26):  
Id 271. Pérdida del material bibliográfico
Id 481. Nivel de uso de recursos bibliográficos físicos (externo y sala) Seccional Pereira
Id 101. Ejecución Plan Anual de Trabajo de Bienestar Universitario Seccional Pereira
Id 102. Ejecución presupuestal de Bienestar Universitario Seccional Pereira
ID 1 Cumplimiento en el programa de Actividades
ID 8 Eficacia de las acciones correctivas implementadas
ID 3 Cumplimiento al plan de implementación del cambio
ID 4 Eficacia de las acciones de Gestión del Riesgo
ID 301 Precisión en la elaboración del Presupuesto de inversión
ID 302 Precisión en la elaboración del Presupuesto de gastos 
ID 303 Precisión en la elaboración del Presupuesto de ingresos 
Id 305.Eficacia del recaudo en los créditos directos
Id 300. Oportunidad en entrega de estados financieros Seccional Pereira
Id 234. Evaluación del desempeño (Seccional Pereira)
Id 235. Cumplimiento del Plan de Formación para Administrativos. Seccional Pereira
Id 614. Porcentaje de Ejecución del Presupuesto de Capacitación del Personal Administrativo. Seccional Pereira
Id 422. Prevalencia de la enfermedad laboral.
Id 473. Incidencia de la enfermedad laboral
ID 381 Ejecución del plan de acción
Id192. Cumplimiento del Cronograma de transferencias documentales
ID395 Programas Acreditados
ID389 Porcentaje de Programas que obtienen Registro Calificado
ID 366:  Grupos de investigación reconocidos y Escalafonados por Colciencias de la Seccional Pereira
ID 32 Movilidad docente
ID 33. Movilidad Estudiantil
Id 550. Nivel de eficiencia del Centro de Conciliación. Seccional Pereira
ID 642  Eficacia del SGC
</t>
        </r>
      </text>
    </comment>
    <comment ref="E54" authorId="1" shapeId="0">
      <text>
        <r>
          <rPr>
            <b/>
            <sz val="9"/>
            <color indexed="81"/>
            <rFont val="Tahoma"/>
            <family val="2"/>
          </rPr>
          <t>Gloria A. Sanchez M.:</t>
        </r>
        <r>
          <rPr>
            <sz val="9"/>
            <color indexed="81"/>
            <rFont val="Tahoma"/>
            <family val="2"/>
          </rPr>
          <t xml:space="preserve">
PRIMER TRIMESTRE: En la seccional Pereira de 17 solicitudes de cambio recibidas, 15 cumplieron con el tiempo establecido, equivalente al 88,24%. Las 2 que no cumplieron fue en los procesos de Docencia (1 aprobación) y Gestión de adquisiciones y suministros (1 aprobación), en el primer caso el Vo. Bo. lo debía dar el Rector seccional y en el primer trimestre hubo cambio del mismo, y el segundo proceso GA, fue por cúmulo de actividades y olvidó hacerlo, ya que desde la coordinación de calidad siempre se les refuerza tanto por correo electrónico como telefónicamente o en sitio para recordarles estos pendientes a los líderes de proceso</t>
        </r>
      </text>
    </comment>
    <comment ref="H54" authorId="1" shapeId="0">
      <text>
        <r>
          <rPr>
            <b/>
            <sz val="9"/>
            <color indexed="81"/>
            <rFont val="Tahoma"/>
            <family val="2"/>
          </rPr>
          <t>Gloria A. Sanchez M.:</t>
        </r>
        <r>
          <rPr>
            <sz val="9"/>
            <color indexed="81"/>
            <rFont val="Tahoma"/>
            <family val="2"/>
          </rPr>
          <t xml:space="preserve">
SEGUNDO TRIMESTRE: En la seccional Pereira de 41 solicitudes de cambio recibidas, 37 cumplieron con el tiempo establecido, equivalente al 90,24%. Las 4 que no cumplieron fue en los procesos de Bienestar Universitario (1 aprobación) y Gestión Financiera (3 aprobaciones), por lo cual como acción de mejora se continúa sensibilizando a través de correo electrónico y en reuniones, a los procesos para que den continuidad en el SIC dando el Vo. Bo. a los mismos, ya que para algunos titulares no es coherente dar esta aprobación sin enviar los ajustes, también algunos esperan al último día que se tiene para enviar los documentos ajustados y darles el Vo. Bo.</t>
        </r>
      </text>
    </comment>
    <comment ref="K54" authorId="1" shapeId="0">
      <text>
        <r>
          <rPr>
            <b/>
            <sz val="9"/>
            <color indexed="81"/>
            <rFont val="Tahoma"/>
            <family val="2"/>
          </rPr>
          <t>Gloria A. Sanchez M.:</t>
        </r>
        <r>
          <rPr>
            <sz val="9"/>
            <color indexed="81"/>
            <rFont val="Tahoma"/>
            <family val="2"/>
          </rPr>
          <t xml:space="preserve">
TERCER TRIMESTRE: En la seccional Pereira de 54 solicitudes de cambio recibidas, 32 cumplieron con el tiempo establecido, equivalente al 59,26%. Las 17 que no cumplieron fue en los procesos de: Docencia, Gestión financiera, Gestión de adquisiciones y suministros, Gestión de servicios generales, Proyección social, Investigación y Gestión Humana, por lo cual como acción de mejora se continúa sensibilizando a través de correo electrónico y en reuniones, a los procesos para que den continuidad en el SIC dando el Vo. Bo. a los mismos, ya que para algunos titulares no es coherente dar esta aprobación sin enviar los ajustes, también algunos esperan al último día que se tiene para enviar los documentos ajustados y darles el Vo. Bo.</t>
        </r>
      </text>
    </comment>
    <comment ref="N54" authorId="1" shapeId="0">
      <text>
        <r>
          <rPr>
            <b/>
            <sz val="9"/>
            <color indexed="81"/>
            <rFont val="Tahoma"/>
            <family val="2"/>
          </rPr>
          <t>Gloria A. Sanchez M.:</t>
        </r>
        <r>
          <rPr>
            <sz val="9"/>
            <color indexed="81"/>
            <rFont val="Tahoma"/>
            <family val="2"/>
          </rPr>
          <t xml:space="preserve">
CUARTO TRIMESTRE: No se cumplió la meta estándar nacional del 100%, en la seccional se obtuvo un resultado del 81,82%. De 22 solicitudes de cambio, 4 no cumplieron con el tiempo establecido en el acuerdo de servicio, documentos correspondientes al proceso de Gestión Humana:
1. Instructivo De Inducción
2. Acta De Entrega Información Manejada Por El Cargo
3. Procedimiento De Gestión Del Talento Humano
4. Formato De Inducción Y Reinducción Puesto De Trabajo</t>
        </r>
      </text>
    </comment>
    <comment ref="D56" authorId="0" shapeId="0">
      <text>
        <r>
          <rPr>
            <b/>
            <sz val="9"/>
            <color indexed="81"/>
            <rFont val="Tahoma"/>
            <family val="2"/>
          </rPr>
          <t>Gloria Amparo Sanchez:</t>
        </r>
        <r>
          <rPr>
            <sz val="9"/>
            <color indexed="81"/>
            <rFont val="Tahoma"/>
            <family val="2"/>
          </rPr>
          <t xml:space="preserve">
Cumplir con el tiempo establecido en el acuerdo de servicio para los días promedio para el trámite de cuentas por pagar.</t>
        </r>
      </text>
    </comment>
    <comment ref="E56" authorId="1" shapeId="0">
      <text>
        <r>
          <rPr>
            <b/>
            <sz val="9"/>
            <color indexed="81"/>
            <rFont val="Tahoma"/>
            <family val="2"/>
          </rPr>
          <t>Gloria A. Sanchez M.:</t>
        </r>
        <r>
          <rPr>
            <sz val="9"/>
            <color indexed="81"/>
            <rFont val="Tahoma"/>
            <family val="2"/>
          </rPr>
          <t xml:space="preserve">
Se cumple la meta del indicador, de un total de 74 documentos equivalente y o facturas recibidas en el mes, el 100% se radicaron dentro de los primeros 5 días establecidos en el acuerdo de servicio.</t>
        </r>
      </text>
    </comment>
    <comment ref="F56" authorId="1" shapeId="0">
      <text>
        <r>
          <rPr>
            <b/>
            <sz val="9"/>
            <color indexed="81"/>
            <rFont val="Tahoma"/>
            <family val="2"/>
          </rPr>
          <t>Gloria A. Sanchez M.:</t>
        </r>
        <r>
          <rPr>
            <sz val="9"/>
            <color indexed="81"/>
            <rFont val="Tahoma"/>
            <family val="2"/>
          </rPr>
          <t xml:space="preserve">
Se cumple la meta del indicador, de un total de 211 documentos equivalente y o facturas recibidas en el mes, el 100% se radicaron dentro de los primeros 5 días establecidos en el acuerdo de servicio.</t>
        </r>
      </text>
    </comment>
    <comment ref="G56" authorId="1" shapeId="0">
      <text>
        <r>
          <rPr>
            <b/>
            <sz val="9"/>
            <color indexed="81"/>
            <rFont val="Tahoma"/>
            <family val="2"/>
          </rPr>
          <t>Gloria A. Sanchez M.:</t>
        </r>
        <r>
          <rPr>
            <sz val="9"/>
            <color indexed="81"/>
            <rFont val="Tahoma"/>
            <family val="2"/>
          </rPr>
          <t xml:space="preserve">
Se cumple la meta del indicador, de un total de 222 documentos equivalente y o facturas recibidas en el mes, el 100% se radicaron dentro de los primeros 5 días establecidos en el acuerdo de servicio.</t>
        </r>
      </text>
    </comment>
    <comment ref="H56" authorId="1" shapeId="0">
      <text>
        <r>
          <rPr>
            <b/>
            <sz val="9"/>
            <color indexed="81"/>
            <rFont val="Tahoma"/>
            <family val="2"/>
          </rPr>
          <t>Gloria A. Sanchez M.:</t>
        </r>
        <r>
          <rPr>
            <sz val="9"/>
            <color indexed="81"/>
            <rFont val="Tahoma"/>
            <family val="2"/>
          </rPr>
          <t xml:space="preserve">
Se cumple la meta del indicador, de un total de 204 documentos equivalente y o facturas recibidas en el mes, el 100% se radicaron dentro de los primeros 5 días establecidos en el acuerdo de servicio.</t>
        </r>
      </text>
    </comment>
    <comment ref="I56" authorId="1" shapeId="0">
      <text>
        <r>
          <rPr>
            <b/>
            <sz val="9"/>
            <color indexed="81"/>
            <rFont val="Tahoma"/>
            <family val="2"/>
          </rPr>
          <t>Gloria A. Sanchez M.:</t>
        </r>
        <r>
          <rPr>
            <sz val="9"/>
            <color indexed="81"/>
            <rFont val="Tahoma"/>
            <family val="2"/>
          </rPr>
          <t xml:space="preserve">
Se cumple la meta del indicador, de un total de 325 documentos equivalente y o facturas recibidas en el mes, el 100% se radicaron dentro de los primeros 5 días establecidos en el acuerdo de servicio.</t>
        </r>
      </text>
    </comment>
    <comment ref="J56" authorId="1" shapeId="0">
      <text>
        <r>
          <rPr>
            <b/>
            <sz val="9"/>
            <color indexed="81"/>
            <rFont val="Tahoma"/>
            <family val="2"/>
          </rPr>
          <t>Gloria A. Sanchez M.:</t>
        </r>
        <r>
          <rPr>
            <sz val="9"/>
            <color indexed="81"/>
            <rFont val="Tahoma"/>
            <family val="2"/>
          </rPr>
          <t xml:space="preserve">
Se cumple la meta del indicador, de un total de 309 documentos equivalente y o facturas recibidas en el mes, el 100% se radicaron dentro de los primeros 5 días establecidos en el acuerdo de servicio.</t>
        </r>
      </text>
    </comment>
    <comment ref="K56" authorId="1" shapeId="0">
      <text>
        <r>
          <rPr>
            <b/>
            <sz val="9"/>
            <color indexed="81"/>
            <rFont val="Tahoma"/>
            <family val="2"/>
          </rPr>
          <t>Gloria A. Sanchez M.:</t>
        </r>
        <r>
          <rPr>
            <sz val="9"/>
            <color indexed="81"/>
            <rFont val="Tahoma"/>
            <family val="2"/>
          </rPr>
          <t xml:space="preserve">
Se cumple la meta del indicador, de un total de 248 documentos equivalente y o facturas recibidas en el mes, el 100% se radicaron dentro de los primeros 5 días establecidos en el acuerdo de servicio.</t>
        </r>
      </text>
    </comment>
    <comment ref="L56" authorId="1" shapeId="0">
      <text>
        <r>
          <rPr>
            <b/>
            <sz val="9"/>
            <color indexed="81"/>
            <rFont val="Tahoma"/>
            <family val="2"/>
          </rPr>
          <t>Gloria A. Sanchez M.:</t>
        </r>
        <r>
          <rPr>
            <sz val="9"/>
            <color indexed="81"/>
            <rFont val="Tahoma"/>
            <family val="2"/>
          </rPr>
          <t xml:space="preserve">
Se cumple la meta del indicador, de un total de 301 documentos soportes y o facturas electrónicas recibidas en el mes, el 100% se radicaron dentro de los primeros 5 días establecidos en el acuerdo de servicio.
</t>
        </r>
      </text>
    </comment>
    <comment ref="M56" authorId="1" shapeId="0">
      <text>
        <r>
          <rPr>
            <b/>
            <sz val="9"/>
            <color indexed="81"/>
            <rFont val="Tahoma"/>
            <family val="2"/>
          </rPr>
          <t>Gloria A. Sanchez M.:</t>
        </r>
        <r>
          <rPr>
            <sz val="9"/>
            <color indexed="81"/>
            <rFont val="Tahoma"/>
            <family val="2"/>
          </rPr>
          <t xml:space="preserve">
Se cumple la meta del indicador, de un total de 322 documentos soportes y o facturas electrónicas recibidas en el mes, el 100% se radicaron dentro de los primeros 5 días establecidos en el acuerdo de servicio.</t>
        </r>
      </text>
    </comment>
    <comment ref="N56" authorId="1" shapeId="0">
      <text>
        <r>
          <rPr>
            <b/>
            <sz val="9"/>
            <color indexed="81"/>
            <rFont val="Tahoma"/>
            <family val="2"/>
          </rPr>
          <t>Gloria A. Sanchez M.:</t>
        </r>
        <r>
          <rPr>
            <sz val="9"/>
            <color indexed="81"/>
            <rFont val="Tahoma"/>
            <family val="2"/>
          </rPr>
          <t xml:space="preserve">
Se cumple la meta del indicador, de un total de 317 documentos soportes y o facturas electrónicas
recibidas en el mes, el 100% se radicaron dentro de los primeros 5 días establecidos en el acuerdo de servicio.
</t>
        </r>
      </text>
    </comment>
    <comment ref="O56" authorId="1" shapeId="0">
      <text>
        <r>
          <rPr>
            <b/>
            <sz val="9"/>
            <color indexed="81"/>
            <rFont val="Tahoma"/>
            <family val="2"/>
          </rPr>
          <t>Gloria A. Sanchez M.:</t>
        </r>
        <r>
          <rPr>
            <sz val="9"/>
            <color indexed="81"/>
            <rFont val="Tahoma"/>
            <family val="2"/>
          </rPr>
          <t xml:space="preserve">
Se cumple la meta del indicador, de un total de 362 documentos soportes y o facturas electrónicas recibidas en el mes, el 100% se radicaron dentro de los primeros 5 días establecidos en el acuerdo de servicio.</t>
        </r>
      </text>
    </comment>
    <comment ref="P56" authorId="1" shapeId="0">
      <text>
        <r>
          <rPr>
            <b/>
            <sz val="9"/>
            <color indexed="81"/>
            <rFont val="Tahoma"/>
            <family val="2"/>
          </rPr>
          <t>Gloria A. Sanchez M.:</t>
        </r>
        <r>
          <rPr>
            <sz val="9"/>
            <color indexed="81"/>
            <rFont val="Tahoma"/>
            <family val="2"/>
          </rPr>
          <t xml:space="preserve">
Se cumple la meta del indicador, de un total de 293 documentos soportes y o facturas electrónicas recibidas en el mes, el 100% se radicaron dentro de los primeros 5 días establecidos en el acuerdo de servicio.
</t>
        </r>
      </text>
    </comment>
    <comment ref="D58" authorId="0" shapeId="0">
      <text>
        <r>
          <rPr>
            <b/>
            <sz val="9"/>
            <color indexed="81"/>
            <rFont val="Tahoma"/>
            <family val="2"/>
          </rPr>
          <t>Gloria Amparo Sanchez:</t>
        </r>
        <r>
          <rPr>
            <sz val="9"/>
            <color indexed="81"/>
            <rFont val="Tahoma"/>
            <family val="2"/>
          </rPr>
          <t xml:space="preserve">
Rango bueno:  99% - 90%</t>
        </r>
      </text>
    </comment>
    <comment ref="E58" authorId="1" shapeId="0">
      <text>
        <r>
          <rPr>
            <b/>
            <sz val="9"/>
            <color indexed="81"/>
            <rFont val="Tahoma"/>
            <family val="2"/>
          </rPr>
          <t>Gloria A. Sanchez M.:</t>
        </r>
        <r>
          <rPr>
            <sz val="9"/>
            <color indexed="81"/>
            <rFont val="Tahoma"/>
            <family val="2"/>
          </rPr>
          <t xml:space="preserve">
No se cumplió la meta estándar del indicador del 100%, de un total de 69 documentos equivalentes y /o Facturas para causación en el mes, 58 se causaron dentro de los plazos establecidos en el acuerdo de servicios (3 días) con un 84,06%. como acciones de mejora para alcanzar la meta, se hace seguimiento a los documentos equivalentes y/ o facturas, deben contar con orden virtual, orden de compra, servicio o contrato aplicado en el sistema. Por inicio de año la aplicación de ordenes por parte de las áreas es un poco mas lenta.
</t>
        </r>
      </text>
    </comment>
    <comment ref="F58"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95,98%, de un total de 199 cuentas recibidas para causación en el mes, 191 cuentas se causaron dentro de los plazos establecidos en el acuerdo de servicios (3 días) equivalente al 95,98%. Como acciones de mejora para alcanzar la meta, se hace seguimiento a los documentos soportes y/ o facturas, deben contar con orden virtual, orden de compra, servicio o contrato aplicado en el sistema.</t>
        </r>
      </text>
    </comment>
    <comment ref="G58" authorId="1" shapeId="0">
      <text>
        <r>
          <rPr>
            <b/>
            <sz val="9"/>
            <color indexed="81"/>
            <rFont val="Tahoma"/>
            <family val="2"/>
          </rPr>
          <t>Gloria A. Sanchez M.:</t>
        </r>
        <r>
          <rPr>
            <sz val="9"/>
            <color indexed="81"/>
            <rFont val="Tahoma"/>
            <family val="2"/>
          </rPr>
          <t xml:space="preserve">
No se cumplió la meta estándar del indicador del 90%, se cumplió con el rango bueno,  de un total de 220 documentos equivalentes y /o Facturas para causación en el mes, 196 se causaron dentro de los plazos establecidos en el acuerdo de servicios (3 días) con un 89,09%. como acciones de mejora para alcanzar la meta, se hace seguimiento a los documentos equivalentes y/ o facturas, deben contar con orden virtual, orden de compra, servicio o contrato aplicado en el sistema.</t>
        </r>
      </text>
    </comment>
    <comment ref="H58" authorId="1" shapeId="0">
      <text>
        <r>
          <rPr>
            <b/>
            <sz val="9"/>
            <color indexed="81"/>
            <rFont val="Tahoma"/>
            <family val="2"/>
          </rPr>
          <t>Gloria A. Sanchez M.:</t>
        </r>
        <r>
          <rPr>
            <sz val="9"/>
            <color indexed="81"/>
            <rFont val="Tahoma"/>
            <family val="2"/>
          </rPr>
          <t xml:space="preserve">
No se cumplió la meta estándar del indicador del 90%, se obtuvo un resultado de 85,22%,  de un total de 203 documentos equivalentes y /o Facturas para causación en el mes, 173 se causaron dentro de los plazos establecidos en el acuerdo de servicios (3 días) con un 85,22%. como acciones de mejora para alcanzar la meta, se hace seguimiento a los documentos equivalentes y/ o facturas, deben contar con orden virtual, orden de compra, servicio o contrato aplicado en el sistema, por descanso de semana santa el indicador se ve afectado.</t>
        </r>
      </text>
    </comment>
    <comment ref="I58" authorId="1" shapeId="0">
      <text>
        <r>
          <rPr>
            <b/>
            <sz val="9"/>
            <color indexed="81"/>
            <rFont val="Tahoma"/>
            <family val="2"/>
          </rPr>
          <t>Gloria A. Sanchez M.:</t>
        </r>
        <r>
          <rPr>
            <sz val="9"/>
            <color indexed="81"/>
            <rFont val="Tahoma"/>
            <family val="2"/>
          </rPr>
          <t xml:space="preserve">
Se  cumplió la meta estándar del indicador del 100%,obteniéndose un resultado seccional del 97,40%, de un total de 308 cuentas recibidas para causación en el mes, 300 cuentas se causaron dentro de los plazos establecidos en el acuerdo de servicios (3 días) equivalente al 97,40%. Como acciones de mejora para incrementar el resultado del indicador, se hace seguimiento a los documentos soportes y/ o facturas, deben contar con orden virtual, orden de compra, servicio o contrato aplicado en el sistema.
</t>
        </r>
      </text>
    </comment>
    <comment ref="J58" authorId="1" shapeId="0">
      <text>
        <r>
          <rPr>
            <b/>
            <sz val="9"/>
            <color indexed="81"/>
            <rFont val="Tahoma"/>
            <family val="2"/>
          </rPr>
          <t>Gloria A. Sanchez M.:</t>
        </r>
        <r>
          <rPr>
            <sz val="9"/>
            <color indexed="81"/>
            <rFont val="Tahoma"/>
            <family val="2"/>
          </rPr>
          <t xml:space="preserve">
No se cumplió la meta estándar del indicador del 100%, pero se cumplió con el rango bueno, obteniéndose un resultado seccional del 97,99%, de un total de 298 cuentas recibidas para causación en el mes, 292 cuentas se causaron dentro de los plazos establecidos en el acuerdo de servicios (3 días) equivalente al 97,99%. Como acciones de mejora para alcanzar la meta, se hace seguimiento a los documentos soportes y/ o facturas, deben contar con orden virtual, orden de compra, servicio o contrato aplicado en el sistema.</t>
        </r>
      </text>
    </comment>
    <comment ref="K58" authorId="1" shapeId="0">
      <text>
        <r>
          <rPr>
            <sz val="9"/>
            <color indexed="81"/>
            <rFont val="Tahoma"/>
            <family val="2"/>
          </rPr>
          <t>Se cumplió la meta estándar del indicador del 100%, obteniéndose un resultado seccional del 96,05%, de un total de 253 cuentas recibidas para causación en el mes, 243 cuentas se causaron dentro de los plazos establecidos en el acuerdo de servicios (3 días) equivalente al 96,05%. Como acciones de mejora para alcanzar un mejor resultado del indicador, se hace seguimiento a los documentos soportes y/ o facturas, deben contar con orden virtual, orden de compra, servicio o contrato aplicado en el sistema.</t>
        </r>
      </text>
    </comment>
    <comment ref="L58" authorId="1" shapeId="0">
      <text>
        <r>
          <rPr>
            <b/>
            <sz val="9"/>
            <color indexed="81"/>
            <rFont val="Tahoma"/>
            <family val="2"/>
          </rPr>
          <t>Gloria A. Sanchez M.:</t>
        </r>
        <r>
          <rPr>
            <sz val="9"/>
            <color indexed="81"/>
            <rFont val="Tahoma"/>
            <family val="2"/>
          </rPr>
          <t xml:space="preserve">
Se cumplió la meta estándar del indicador del 90%, pero se cumplió con el rango bueno, obteniéndose un resultado seccional del 98,69%, de un total de 305 cuentas recibidas para causación en el mes, 301 cuentas se causaron dentro de los plazos establecidos en el acuerdo de servicios (3 días) equivalente al 98,69%. Como acciones de mejora para incrementar el resultado, se hace seguimiento a los documentos soportes y/ o facturas electrónica, deben contar con orden virtual, orden de compra y/o servicio, contrato aplicado en el sistema. Las que no cumplieron se causaron a fin de mes.</t>
        </r>
      </text>
    </comment>
    <comment ref="M58"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97,79%, de un total de 317 facturas electrónicas y o documentos soportes recibidas para causación en el mes, 310 cuentas se causaron dentro de los plazos establecidos en el acuerdo de servicios (3 días) equivalente al 97,79%. Como acciones de mejora para incrementar el resultado, se hace seguimiento a los documentos soportes y/ o facturas electrónica, deben contar con orden virtual, orden de compra y/o servicio, contrato aplicado en el sistema.</t>
        </r>
      </text>
    </comment>
    <comment ref="N58"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96,93%, de un total de 326 facturas electrónicas y o documentos soportes recibidas para causación en el mes, 316 cuentas se causaron dentro de los plazos establecidos en el acuerdo de servicios (3 días) equivalente al 96,93%. Como acciones de mejora para incrementar el resultado, se hace seguimiento a los documentos soportes y/ o facturas electrónica, deben contar con orden virtual, orden de compra y/o servicio, contrato aplicado en el sistema.</t>
        </r>
      </text>
    </comment>
    <comment ref="O58"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90,66%, de un total de 439 facturas electrónicas y o documentos soportes recibidas para causación en el mes,398 cuentas se causaron dentro de los plazos establecidos en el acuerdo de servicios (3 días) equivalente al 90,66%. Este mes se recibió facturas y o documentos soporte de forma anticipada para el cierre de año 2022. Como acciones de mejora para incrementar el resultado, se hace seguimiento a los documentos soportes y/ o facturas electrónica, deben contar con orden virtual, orden de compra y/o servicio, contrato aplicado en el sistema.</t>
        </r>
      </text>
    </comment>
    <comment ref="P58"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91,30%, de un total de 322 facturas electrónicas y o documentos soportes recibidas para causación en el mes,294 cuentas se causaron dentro de los plazos establecidos en el acuerdo de servicios (3 días) equivalente al 91,30%. Este mes se recibió facturas y o documentos soporte de forma anticipada para el cierre de año 2022. Como acciones de mejora para incrementar el resultado, se hace seguimiento a los documentos soportes y/ o facturas electrónica, deben contar con orden virtual, orden de compra y/o servicio, contrato aplicado en el sistema.</t>
        </r>
      </text>
    </comment>
    <comment ref="D60" authorId="0" shapeId="0">
      <text>
        <r>
          <rPr>
            <b/>
            <sz val="9"/>
            <color indexed="81"/>
            <rFont val="Tahoma"/>
            <family val="2"/>
          </rPr>
          <t>Gloria Amparo Sanchez:</t>
        </r>
        <r>
          <rPr>
            <sz val="9"/>
            <color indexed="81"/>
            <rFont val="Tahoma"/>
            <family val="2"/>
          </rPr>
          <t xml:space="preserve">
Indicador: de Gestión Financiera: “DÍAS PROMEDIO PARA EL TRÁMITE DE CUENTAS GIRADAS Y/O PAGADAS (ACUERDO)”, para tener mayor claridad al momento de ingresar la información para este indicador se debe tener en cuenta que se deben contar 17 días hábiles contados a partir del último día del mes a reportar (se incluye texto explicativo en la descripción del mismo). </t>
        </r>
      </text>
    </comment>
    <comment ref="E60" authorId="1" shapeId="0">
      <text>
        <r>
          <rPr>
            <b/>
            <sz val="9"/>
            <color indexed="81"/>
            <rFont val="Tahoma"/>
            <family val="2"/>
          </rPr>
          <t>Gloria A. Sanchez M.:</t>
        </r>
        <r>
          <rPr>
            <sz val="9"/>
            <color indexed="81"/>
            <rFont val="Tahoma"/>
            <family val="2"/>
          </rPr>
          <t xml:space="preserve">
No se cumplió la meta estándar del indicador del 100%, se observa que este indicador no tiene meta definida, se cuenta con un rango bueno del 18,03%, de un total de 122 cuentas giradas dentro de los plazos establecidos 18 días y 30 para devolución de estudiantes, 22 pagos cumplieron, los otros 100 pagos no, por razones como: Periodo de vacaciones colectivas, se causaron en diciembre 2021 y se pagaron a finales de enero de 2022, afectando el indicador.</t>
        </r>
      </text>
    </comment>
    <comment ref="F60" authorId="1" shapeId="0">
      <text>
        <r>
          <rPr>
            <b/>
            <sz val="9"/>
            <color indexed="81"/>
            <rFont val="Tahoma"/>
            <family val="2"/>
          </rPr>
          <t>Gloria A. Sanchez M.:</t>
        </r>
        <r>
          <rPr>
            <sz val="9"/>
            <color indexed="81"/>
            <rFont val="Tahoma"/>
            <family val="2"/>
          </rPr>
          <t xml:space="preserve">
No se cumplió la meta estándar del indicador del 90%, se cuenta con un rango bueno del 75,29%, de un total de 263 cuentas giradas dentro de los plazos establecidos 17 días y 30 para devolución de estudiantes, 198 pagos cumplieron, los otros 65 pagos no, por razones como: Facturas causadas en diciembre 2021 y pendientes de acta de recibido a satisfacción, con cartas de compromiso,afectando el indicador.</t>
        </r>
      </text>
    </comment>
    <comment ref="G60" authorId="1" shapeId="0">
      <text>
        <r>
          <rPr>
            <b/>
            <sz val="9"/>
            <color indexed="81"/>
            <rFont val="Tahoma"/>
            <family val="2"/>
          </rPr>
          <t>Gloria A. Sanchez M.:</t>
        </r>
        <r>
          <rPr>
            <sz val="9"/>
            <color indexed="81"/>
            <rFont val="Tahoma"/>
            <family val="2"/>
          </rPr>
          <t xml:space="preserve">
No se cumplió la meta estándar del indicador del 90%, se cuenta con un rango bueno del 87,73%, de un total de 220 cuentas giradas dentro de los plazos establecidos 17 días y 30 para devolución a estudiantes, 193 pagos cumplieron, los otros 27 pagos no, por razones como: Acta pendientes de recibido, el indicador se afecta con las facturas electrónicas radicadas al inicio del mes y sólo se pueden pagar cuando se ha recibido a fin de mes el servicio, como: Servicio vigilancia, Aseo, servicios mantenimiento.</t>
        </r>
      </text>
    </comment>
    <comment ref="H60" authorId="1" shapeId="0">
      <text>
        <r>
          <rPr>
            <b/>
            <sz val="9"/>
            <color indexed="81"/>
            <rFont val="Tahoma"/>
            <family val="2"/>
          </rPr>
          <t>Gloria A. Sanchez M.:</t>
        </r>
        <r>
          <rPr>
            <sz val="9"/>
            <color indexed="81"/>
            <rFont val="Tahoma"/>
            <family val="2"/>
          </rPr>
          <t xml:space="preserve">
No se cumplió la meta estándar del indicador del 90%, se cuenta con un rango bueno del 87,12%, de un total de 233 cuentas giradas dentro de los plazos establecidos 17 días y 30 para devolución a estudiantes, 203 pagos cumplieron, los otros 30 pagos no, por razones como: Acta pendientes de recibido, el indicador se afecta con las facturas electrónicas radicadas al inicio del mes y sólo se pueden pagar cuando se ha recibido a fin de mes el servicio, como: Vigilancia, Aseo, servicios mantenimiento.</t>
        </r>
      </text>
    </comment>
    <comment ref="I60"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90,59%, de un total de 170 cuentas giradas dentro de los plazos establecidos (18 días y 30 para devolución de estudiantes), 154 pagos cumplieron, los otros 16 pagos no, por razones como: Acta pendientes de recibido, el indicador se afecta con las facturas electrónicas radicadas al inicio del mes y sólo se pueden pagar cuando se ha recibido a satisfacción el servicio al final de mes. ejemplo: Mantenimiento Ascensores, vigilancia privada, servicio de Aseo.</t>
        </r>
      </text>
    </comment>
    <comment ref="J60" authorId="1" shapeId="0">
      <text>
        <r>
          <rPr>
            <sz val="9"/>
            <color indexed="81"/>
            <rFont val="Tahoma"/>
            <family val="2"/>
          </rPr>
          <t>Se  cumplió la meta estándar del indicador del 100%, obteniéndose un resultado seccional del 97,99%, de un total de 298 cuentas recibidas para causación en el mes, 292 cuentas se causaron dentro de los plazos establecidos en el acuerdo de servicios (3 días) equivalente al 97,99%. Como acciones de mejora para mejorar el resultado del indicador, se hace seguimiento a los documentos soportes y/ o facturas, deben contar con orden virtual, orden de compra, servicio o contrato aplicado en el sistema.</t>
        </r>
      </text>
    </comment>
    <comment ref="K60" authorId="1" shapeId="0">
      <text>
        <r>
          <rPr>
            <b/>
            <sz val="9"/>
            <color indexed="81"/>
            <rFont val="Tahoma"/>
            <family val="2"/>
          </rPr>
          <t>Gloria A. Sanchez M.:</t>
        </r>
        <r>
          <rPr>
            <sz val="9"/>
            <color indexed="81"/>
            <rFont val="Tahoma"/>
            <family val="2"/>
          </rPr>
          <t xml:space="preserve">
Se cumplió la meta estándar del indicador del 90%, obteniéndose un resultado seccional del 90,91%, de un total de 264 cuentas giradas dentro de los plazos establecidos (18 días y 30 para devolución de estudiantes), 240 pagos cumplieron, los otros 24 pagos no, por razones como: Acta pendientes de recibido por partes de las diferentes áreas, el indicador se afecta con las facturas electrónicas radicadas al inicio del mes y sólo se pueden pagar cuando se ha recibido a satisfacción el servicio al final de mes. ejemplo: Mantenimiento Ascensores, vigilancia privada, servicio de Aseo, pagos terceros de nómina.</t>
        </r>
      </text>
    </comment>
    <comment ref="L60" authorId="1" shapeId="0">
      <text>
        <r>
          <rPr>
            <b/>
            <sz val="9"/>
            <color indexed="81"/>
            <rFont val="Tahoma"/>
            <family val="2"/>
          </rPr>
          <t>Gloria A. Sanchez M.:</t>
        </r>
        <r>
          <rPr>
            <sz val="9"/>
            <color indexed="81"/>
            <rFont val="Tahoma"/>
            <family val="2"/>
          </rPr>
          <t xml:space="preserve">
No se cumplió la meta estándar del indicador del 90%, pero se cumplió con el rango bueno, obteniéndose un resultado seccional del 86,67%, de un total de 240 cuentas giradas dentro de los plazos establecidos (18 días y 30 para devolución de estudiantes), 208 pagos cumplieron, los otros 32 pagos no, por razones como: Acta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ejemplo: Mantenimiento Ascensores, plantas, purificadores, servicio de vigilancia privada, servicio de Aseo, como acción de mejora se envió propuesta de ajuste a la sede principal de los indicadores del proceso.</t>
        </r>
      </text>
    </comment>
    <comment ref="M60" authorId="1" shapeId="0">
      <text>
        <r>
          <rPr>
            <b/>
            <sz val="9"/>
            <color indexed="81"/>
            <rFont val="Tahoma"/>
            <family val="2"/>
          </rPr>
          <t>Gloria A. Sanchez M.:</t>
        </r>
        <r>
          <rPr>
            <sz val="9"/>
            <color indexed="81"/>
            <rFont val="Tahoma"/>
            <family val="2"/>
          </rPr>
          <t xml:space="preserve">
No se cumplió la meta estándar del indicador del 100%, obteniéndose un resultado seccional del 84,28%, de un total de 388 cuentas giradas dentro de los plazos establecidos (18 días y 30 para devolución de estudiantes y proveedores que dan crédito a 30 días), 327 pagos cumplieron, los otros 61 pagos no, por razones como: Acta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ejemplo: Mantenimiento Ascensores, plantas, purificadores, servicio de vigilancia privada, servicio de Aseo.
</t>
        </r>
      </text>
    </comment>
    <comment ref="N60" authorId="1" shapeId="0">
      <text>
        <r>
          <rPr>
            <b/>
            <sz val="9"/>
            <color indexed="81"/>
            <rFont val="Tahoma"/>
            <family val="2"/>
          </rPr>
          <t>Gloria A. Sanchez M.:</t>
        </r>
        <r>
          <rPr>
            <sz val="9"/>
            <color indexed="81"/>
            <rFont val="Tahoma"/>
            <family val="2"/>
          </rPr>
          <t xml:space="preserve">
No se cumplió la meta estándar del indicador del 100%, obteniéndose un resultado seccional del 69,64%, de un total de 280 cuentas giradas dentro de los plazos establecidos (18 días y 30 para devolución de estudiantes y proveedores que dan crédito a 30 días), 195 pagos cumplieron, los otros 85 pagos no, por razones como: Acta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ejemplo: Mantenimiento Ascensores, plantas, purificadores, servicio de vigilancia privada, servicio de Aseo.</t>
        </r>
      </text>
    </comment>
    <comment ref="O60" authorId="1" shapeId="0">
      <text>
        <r>
          <rPr>
            <b/>
            <sz val="9"/>
            <color indexed="81"/>
            <rFont val="Tahoma"/>
            <family val="2"/>
          </rPr>
          <t>Gloria A. Sanchez M.:</t>
        </r>
        <r>
          <rPr>
            <sz val="9"/>
            <color indexed="81"/>
            <rFont val="Tahoma"/>
            <family val="2"/>
          </rPr>
          <t xml:space="preserve">
No se cumplió la meta estándar del indicador del 90%, obteniéndose un resultado seccional del 85,50%, de un total de 338 cuentas giradas dentro de los plazos establecidos (18 días y 30 para devolución de estudiantes y proveedores que dan crédito a 30 días),289 pagos cumplieron, los otros 49 pagos no, por razones como: Acta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a 30 días. ejemplo: Mantenimiento Ascensores, plantas, purificadores, servicio de vigilancia privada, servicio de Aseo. Las devoluciones de saldo a favor cuentan con un tiempo de 30 días para realizarlas.</t>
        </r>
      </text>
    </comment>
    <comment ref="P60" authorId="1" shapeId="0">
      <text>
        <r>
          <rPr>
            <b/>
            <sz val="9"/>
            <color indexed="81"/>
            <rFont val="Tahoma"/>
            <family val="2"/>
          </rPr>
          <t>Gloria A. Sanchez M.:</t>
        </r>
        <r>
          <rPr>
            <sz val="9"/>
            <color indexed="81"/>
            <rFont val="Tahoma"/>
            <family val="2"/>
          </rPr>
          <t xml:space="preserve">
No se cumplió la meta estándar del indicador del 90%, obteniéndose un resultado seccional del 64,31%, de un total de 255 cuentas giradas dentro de los plazos establecidos (18 días y 30 para devolución de estudiantes y proveedores que dan crédito a 30 días),164 pagos cumplieron, los otros 91 pagos no, por razones como: Por cierre de año se recibieron facturas y documentos soportes desde el mes de noviembre y el pago se realizo en diciembre cuando cumplieron el periodo contractual, también por actas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a 30 días. ejemplo: Mantenimiento Ascensores, plantas, purificadores, servicio de vigilancia privada, servicio de Aseo. Las devoluciones de saldo a favor cuentan con un tiempo de 30 días para realizarlas.</t>
        </r>
      </text>
    </comment>
    <comment ref="D62" authorId="0" shapeId="0">
      <text>
        <r>
          <rPr>
            <b/>
            <sz val="9"/>
            <color indexed="81"/>
            <rFont val="Tahoma"/>
            <family val="2"/>
          </rPr>
          <t>Gloria Amparo Sanchez:</t>
        </r>
        <r>
          <rPr>
            <sz val="9"/>
            <color indexed="81"/>
            <rFont val="Tahoma"/>
            <family val="2"/>
          </rPr>
          <t xml:space="preserve">
Rango bueno: 11% - 14%</t>
        </r>
      </text>
    </comment>
    <comment ref="E62" authorId="1" shapeId="0">
      <text>
        <r>
          <rPr>
            <b/>
            <sz val="9"/>
            <color indexed="81"/>
            <rFont val="Tahoma"/>
            <family val="2"/>
          </rPr>
          <t>Gloria A. Sanchez M.:</t>
        </r>
        <r>
          <rPr>
            <sz val="9"/>
            <color indexed="81"/>
            <rFont val="Tahoma"/>
            <family val="2"/>
          </rPr>
          <t xml:space="preserve">
Para el año 2022 este indicador no se cumplió, por la variación del precio del dolar se incremento la inversión. El valor del presupuesto total de inversión aprobado fue de 1.830 millones, el valor del total del presupuesto de inversión modificado fue de 2.490 y la adición de recursos de capital fue de 0</t>
        </r>
      </text>
    </comment>
    <comment ref="D63" authorId="0" shapeId="0">
      <text>
        <r>
          <rPr>
            <b/>
            <sz val="9"/>
            <color indexed="81"/>
            <rFont val="Tahoma"/>
            <family val="2"/>
          </rPr>
          <t>Gloria Amparo Sanchez:</t>
        </r>
        <r>
          <rPr>
            <sz val="9"/>
            <color indexed="81"/>
            <rFont val="Tahoma"/>
            <family val="2"/>
          </rPr>
          <t xml:space="preserve">
RANGO BUENO: 11% - 14%</t>
        </r>
      </text>
    </comment>
    <comment ref="E63" authorId="1" shapeId="0">
      <text>
        <r>
          <rPr>
            <b/>
            <sz val="9"/>
            <color indexed="81"/>
            <rFont val="Tahoma"/>
            <family val="2"/>
          </rPr>
          <t>Gloria A. Sanchez M.:</t>
        </r>
        <r>
          <rPr>
            <sz val="9"/>
            <color indexed="81"/>
            <rFont val="Tahoma"/>
            <family val="2"/>
          </rPr>
          <t xml:space="preserve">
2022: Se cumple el indicador de precisión del presupuesto del gasto al estar por debajo del 10%. El valor del presupuesto total de gastos aprobado fue de 39.769 millones, el valor del total del presupuesto de gastos modificado fue de 39.728 millones, no hubo adiciones de recursos de capital</t>
        </r>
      </text>
    </comment>
    <comment ref="D64" authorId="0" shapeId="0">
      <text>
        <r>
          <rPr>
            <b/>
            <sz val="9"/>
            <color indexed="81"/>
            <rFont val="Tahoma"/>
            <family val="2"/>
          </rPr>
          <t>Gloria Amparo Sanchez:</t>
        </r>
        <r>
          <rPr>
            <sz val="9"/>
            <color indexed="81"/>
            <rFont val="Tahoma"/>
            <family val="2"/>
          </rPr>
          <t xml:space="preserve">
rango bueno:  4% - 5%</t>
        </r>
      </text>
    </comment>
    <comment ref="E64" authorId="1" shapeId="0">
      <text>
        <r>
          <rPr>
            <b/>
            <sz val="9"/>
            <color indexed="81"/>
            <rFont val="Tahoma"/>
            <family val="2"/>
          </rPr>
          <t>Gloria A. Sanchez M.:</t>
        </r>
        <r>
          <rPr>
            <sz val="9"/>
            <color indexed="81"/>
            <rFont val="Tahoma"/>
            <family val="2"/>
          </rPr>
          <t xml:space="preserve">
Año 2022: Se cumplió la meta nacional " no superar el 3% de variación entre el presupuesto aprobado y el aprobado", se presento una variación del 1.2%.</t>
        </r>
      </text>
    </comment>
    <comment ref="D65" authorId="0" shapeId="0">
      <text>
        <r>
          <rPr>
            <b/>
            <sz val="9"/>
            <color indexed="81"/>
            <rFont val="Tahoma"/>
            <family val="2"/>
          </rPr>
          <t>Gloria Amparo Sanchez:</t>
        </r>
        <r>
          <rPr>
            <sz val="9"/>
            <color indexed="81"/>
            <rFont val="Tahoma"/>
            <family val="2"/>
          </rPr>
          <t xml:space="preserve">
Controlar el comportamiento de la recuperación de cartera de lo que la Universidad Libre financia directamente, con el fin de analizar y mejorar la gestión de cobros y evitar saldos antiguos</t>
        </r>
      </text>
    </comment>
    <comment ref="E65" authorId="1" shapeId="0">
      <text>
        <r>
          <rPr>
            <b/>
            <sz val="9"/>
            <color indexed="81"/>
            <rFont val="Tahoma"/>
            <family val="2"/>
          </rPr>
          <t>Gloria A. Sanchez M.:</t>
        </r>
        <r>
          <rPr>
            <sz val="9"/>
            <color indexed="81"/>
            <rFont val="Tahoma"/>
            <family val="2"/>
          </rPr>
          <t xml:space="preserve">
AÑO 2022: Se cumple la meta nacional con un porcentaje de cumplimiento del 92.76%, el valor de los créditos directos otorgados en el período fue de $1.470.918.660 y el valor de los créditos directos recaudados fue de $1.364.482.067, de acuerdo al resultado anterior, la seccional tuvo una leve mejoría respecto al año anterior y siempre cumpliendo las metas. Se continuó con el proceso de cobro que se implementó en la época de cuarentena. Es importante informar que ya se iniciaron todos los proceso de cobro con los estudiantes que están en mora.</t>
        </r>
      </text>
    </comment>
    <comment ref="D66" authorId="0" shapeId="0">
      <text>
        <r>
          <rPr>
            <b/>
            <sz val="9"/>
            <color indexed="81"/>
            <rFont val="Tahoma"/>
            <family val="2"/>
          </rPr>
          <t>Gloria Amparo Sanchez:</t>
        </r>
        <r>
          <rPr>
            <sz val="9"/>
            <color indexed="81"/>
            <rFont val="Tahoma"/>
            <family val="2"/>
          </rPr>
          <t xml:space="preserve">
Controlar los créditos y montos a través de Financieras e ICETEX, con el fin de evidenciar cuantos estudiantes pasan a través de créditos indirectos y evitar que se presenten saldos antiguos.</t>
        </r>
      </text>
    </comment>
    <comment ref="E66" authorId="1" shapeId="0">
      <text>
        <r>
          <rPr>
            <b/>
            <sz val="9"/>
            <color indexed="81"/>
            <rFont val="Tahoma"/>
            <family val="2"/>
          </rPr>
          <t>Gloria A. Sanchez M.:</t>
        </r>
        <r>
          <rPr>
            <sz val="9"/>
            <color indexed="81"/>
            <rFont val="Tahoma"/>
            <family val="2"/>
          </rPr>
          <t xml:space="preserve">
Se supera la meta estándar nacional (90%), en la seccional se obtuvo un resultado del 94.27%, el valor total de los créditos otorgados por las entidades financieras fue de $3.007.844.460 y el valor total recaudado fue del 94.27%. En la Seccional se tienen controlados los créditos y monto a través de Financieras e ICETEX, es importante resaltar que los métodos de trabajo utilizados durante la vigencia 2021 por incumplimiento del ICETEX al convenio con la Universidad en la cláusula 7a. del contrato 2013-0537: se continúan implementando las acciones del período anterior. La diferencia entre el resultado obtenido y el 100%, corresponde al crédito de 51 estudiantes que no fueron desembolsados por el Icetex en el período 2022-1 y de los cuales ya iniciamos el proceso de apoyo con esta entidad para lograr recuperar no solo el dinero sino más importante aún, al estudiante. El 38% de la cartera pendiente por recaudar, pertenece a posgrado, y es de tener en cuenta que ellos manejas fechas distintas en desembolsos y calendario académico ante el ICETEX. Este ultimo se reactivo un poco mas a finales del periodo.</t>
        </r>
      </text>
    </comment>
    <comment ref="K66" authorId="1" shapeId="0">
      <text>
        <r>
          <rPr>
            <b/>
            <sz val="9"/>
            <color indexed="81"/>
            <rFont val="Tahoma"/>
            <family val="2"/>
          </rPr>
          <t>Gloria A. Sanchez M.:</t>
        </r>
        <r>
          <rPr>
            <sz val="9"/>
            <color indexed="81"/>
            <rFont val="Tahoma"/>
            <family val="2"/>
          </rPr>
          <t xml:space="preserve">
Se supera la meta estándar nacional (90%), en la seccional se obtuvo un resultado del 99.05%, el valor total de los créditos otorgados por las entidades financieras fue de $2.425.483.359 y el valor total recaudado fue $2.402.422.681.00 lo que corresponde a un 99.05% En la Seccional se tienen controlados los créditos y monto a través de Financieras e ICETEX, es importante resaltar que los métodos de trabajo utilizados durante la vigencia 2021 por incumplimiento del ICETEX al convenio con la Universidad en la cláusula 7a. del contrato 2013-0537: se continúan implementando las acciones del período anterior.
La diferencia entre el resultado obtenido y el 100%, corresponde a 08 créditos, seis de ellos son FONDOS ESPECIALES del Icetex de los cuales ya iniciamos el proceso de apoyo con esta entidad para lograr recuperar no solo el dinero sino más importante aún, al estudiante.</t>
        </r>
      </text>
    </comment>
    <comment ref="E67" authorId="1" shapeId="0">
      <text>
        <r>
          <rPr>
            <b/>
            <sz val="9"/>
            <color indexed="81"/>
            <rFont val="Tahoma"/>
            <family val="2"/>
          </rPr>
          <t>Gloria A. Sanchez M.:</t>
        </r>
        <r>
          <rPr>
            <sz val="9"/>
            <color indexed="81"/>
            <rFont val="Tahoma"/>
            <family val="2"/>
          </rPr>
          <t xml:space="preserve">
Se entregaron los 4 estados financieros obligatorios y 1 adicional solicitado por la sede principal. Aprobados por la revisoria fiscal.</t>
        </r>
      </text>
    </comment>
    <comment ref="D68" authorId="0" shapeId="0">
      <text>
        <r>
          <rPr>
            <b/>
            <sz val="9"/>
            <color indexed="81"/>
            <rFont val="Tahoma"/>
            <family val="2"/>
          </rPr>
          <t>Gloria Amparo Sanchez:</t>
        </r>
        <r>
          <rPr>
            <sz val="9"/>
            <color indexed="81"/>
            <rFont val="Tahoma"/>
            <family val="2"/>
          </rPr>
          <t xml:space="preserve">
RANGO BUENO:  90% - 80%</t>
        </r>
      </text>
    </comment>
    <comment ref="E68" authorId="1" shapeId="0">
      <text>
        <r>
          <rPr>
            <b/>
            <sz val="9"/>
            <color indexed="81"/>
            <rFont val="Tahoma"/>
            <family val="2"/>
          </rPr>
          <t>Gloria A. Sanchez M.:</t>
        </r>
        <r>
          <rPr>
            <sz val="9"/>
            <color indexed="81"/>
            <rFont val="Tahoma"/>
            <family val="2"/>
          </rPr>
          <t xml:space="preserve">
TRIMESTRE I: Se recibieron 468 solicitudes en el primer trimestre del año 2022, las 28 solicitudes que no se lograron tramitar en el tiempo establecido son por movimientos presupuestales o actividades que no estaban incluida en el plan de acción de los centros de costos. Cumpliendo con el estándar nacional del 90%</t>
        </r>
      </text>
    </comment>
    <comment ref="H68" authorId="1" shapeId="0">
      <text>
        <r>
          <rPr>
            <b/>
            <sz val="9"/>
            <color indexed="81"/>
            <rFont val="Tahoma"/>
            <family val="2"/>
          </rPr>
          <t>Gloria A. Sanchez M.:</t>
        </r>
        <r>
          <rPr>
            <sz val="9"/>
            <color indexed="81"/>
            <rFont val="Tahoma"/>
            <family val="2"/>
          </rPr>
          <t xml:space="preserve">
TRIMESTRE II: Se recibieron 641 solicitudes en el segundo trimestre del año 2022, las 22 solicitudes que no se lograron tramitar en el tiempo establecido son por movimientos presupuestales o actividades que no estaban incluida en el plan de acción de los centros de costos. Cumpliendo con el estándar nacional del 96.57%</t>
        </r>
      </text>
    </comment>
    <comment ref="K68" authorId="1" shapeId="0">
      <text>
        <r>
          <rPr>
            <b/>
            <sz val="9"/>
            <color indexed="81"/>
            <rFont val="Tahoma"/>
            <family val="2"/>
          </rPr>
          <t>Gloria A. Sanchez M.:</t>
        </r>
        <r>
          <rPr>
            <sz val="9"/>
            <color indexed="81"/>
            <rFont val="Tahoma"/>
            <family val="2"/>
          </rPr>
          <t xml:space="preserve">
TRIMESTRE III: Se recibieron 650 solicitudes en el tercer trimestre del año 2022, las 25 solicitudes que no se lograron tramitar en el tiempo establecido son por movimientos presupuestales o actividades que no estaban incluida en el plan de acción de los centros de costos. Cumpliendo con el estándar nacional del 96.17%</t>
        </r>
      </text>
    </comment>
    <comment ref="N68" authorId="1" shapeId="0">
      <text>
        <r>
          <rPr>
            <b/>
            <sz val="9"/>
            <color indexed="81"/>
            <rFont val="Tahoma"/>
            <family val="2"/>
          </rPr>
          <t>Gloria A. Sanchez M.:</t>
        </r>
        <r>
          <rPr>
            <sz val="9"/>
            <color indexed="81"/>
            <rFont val="Tahoma"/>
            <family val="2"/>
          </rPr>
          <t xml:space="preserve">
TRIMESTRE IV: Se recibieron 652 solicitudes en el cuarto trimestre del año 2022, las 18 solicitudes que no se lograron tramitar en el tiempo establecido son por movimientos presupuestales o actividades que no estaban incluida en el plan de acción de los centros de costos. Cumpliendo con el estándar nacional del 97.24%
</t>
        </r>
      </text>
    </comment>
    <comment ref="D74" authorId="0" shapeId="0">
      <text>
        <r>
          <rPr>
            <b/>
            <sz val="9"/>
            <color indexed="81"/>
            <rFont val="Tahoma"/>
            <family val="2"/>
          </rPr>
          <t>Gloria Amparo Sanchez:</t>
        </r>
        <r>
          <rPr>
            <sz val="9"/>
            <color indexed="81"/>
            <rFont val="Tahoma"/>
            <family val="2"/>
          </rPr>
          <t xml:space="preserve">
RANGO BUENO: 80%-96,9%
Monitorear el cumplimiento del acuerdo de servicio de entrega de las Certificaciones Laborales en los tiempos establecidos para cada caso. excluyendo la certificaciones Electrónicas generadas por Kactus</t>
        </r>
      </text>
    </comment>
    <comment ref="E74" authorId="1" shapeId="0">
      <text>
        <r>
          <rPr>
            <b/>
            <sz val="9"/>
            <color indexed="81"/>
            <rFont val="Tahoma"/>
            <family val="2"/>
          </rPr>
          <t>Gloria A. Sanchez M.:</t>
        </r>
        <r>
          <rPr>
            <sz val="9"/>
            <color indexed="81"/>
            <rFont val="Tahoma"/>
            <family val="2"/>
          </rPr>
          <t xml:space="preserve">
Se cumplió la meta estándar nacional, obteniendo el proceso un resultado de 98.92%, de un total de 93 solicitudes 92 fueron contestadas dentro del tiempo establecido en el acuerdo de servicios.</t>
        </r>
      </text>
    </comment>
    <comment ref="D75" authorId="0" shapeId="0">
      <text>
        <r>
          <rPr>
            <b/>
            <sz val="9"/>
            <color indexed="81"/>
            <rFont val="Tahoma"/>
            <family val="2"/>
          </rPr>
          <t>Gloria Amparo Sanchez:</t>
        </r>
        <r>
          <rPr>
            <sz val="9"/>
            <color indexed="81"/>
            <rFont val="Tahoma"/>
            <family val="2"/>
          </rPr>
          <t xml:space="preserve">
RANGO BUENO: 70%-79,9%</t>
        </r>
      </text>
    </comment>
    <comment ref="D76" authorId="0" shapeId="0">
      <text>
        <r>
          <rPr>
            <b/>
            <sz val="9"/>
            <color indexed="81"/>
            <rFont val="Tahoma"/>
            <family val="2"/>
          </rPr>
          <t>Gloria Amparo Sanchez:</t>
        </r>
        <r>
          <rPr>
            <sz val="9"/>
            <color indexed="81"/>
            <rFont val="Tahoma"/>
            <family val="2"/>
          </rPr>
          <t xml:space="preserve">
RANGO BUENO:  70%-79,9%</t>
        </r>
      </text>
    </comment>
    <comment ref="E76" authorId="1" shapeId="0">
      <text>
        <r>
          <rPr>
            <b/>
            <sz val="9"/>
            <color indexed="81"/>
            <rFont val="Tahoma"/>
            <family val="2"/>
          </rPr>
          <t>Gloria A. Sanchez M.:</t>
        </r>
        <r>
          <rPr>
            <sz val="9"/>
            <color indexed="81"/>
            <rFont val="Tahoma"/>
            <family val="2"/>
          </rPr>
          <t xml:space="preserve">
Se evaluó la evaluación de desempeño del período 2021: Se cumplió con el indicador frente a la población evaluada, de un total de 134 trabajadores evaluados, 132 obtuvieron una calificación mayor de 70 puntos en la evaluación del desempeño, obteniéndose un 98,51% de cumplimiento.</t>
        </r>
      </text>
    </comment>
    <comment ref="D77" authorId="0" shapeId="0">
      <text>
        <r>
          <rPr>
            <b/>
            <sz val="9"/>
            <color indexed="81"/>
            <rFont val="Tahoma"/>
            <family val="2"/>
          </rPr>
          <t>Gloria Amparo Sanchez:</t>
        </r>
        <r>
          <rPr>
            <sz val="9"/>
            <color indexed="81"/>
            <rFont val="Tahoma"/>
            <family val="2"/>
          </rPr>
          <t xml:space="preserve">
RANGO BUENO: 80%-89%</t>
        </r>
      </text>
    </comment>
    <comment ref="D82" authorId="1" shapeId="0">
      <text>
        <r>
          <rPr>
            <b/>
            <sz val="9"/>
            <color indexed="81"/>
            <rFont val="Tahoma"/>
            <family val="2"/>
          </rPr>
          <t>Gloria A. Sanchez M.:</t>
        </r>
        <r>
          <rPr>
            <sz val="9"/>
            <color indexed="81"/>
            <rFont val="Tahoma"/>
            <family val="2"/>
          </rPr>
          <t xml:space="preserve">
Determinar el grado de cumplimiento de los temas críticos de capacitación</t>
        </r>
      </text>
    </comment>
    <comment ref="E82" authorId="2" shapeId="0">
      <text>
        <r>
          <rPr>
            <b/>
            <sz val="9"/>
            <color indexed="81"/>
            <rFont val="Tahoma"/>
            <family val="2"/>
          </rPr>
          <t>Gloria A:</t>
        </r>
        <r>
          <rPr>
            <sz val="9"/>
            <color indexed="81"/>
            <rFont val="Tahoma"/>
            <family val="2"/>
          </rPr>
          <t xml:space="preserve">
AÑO 2022: Se cumplió la meta estándar nacional 100% o superior de cumplimiento al plan de formación. Se programaron y realizaron 8 capacitaciones equivalente al 100%. Éstas corresponden a las programadas y realizadas por la Dirección de Gestión Humana a saber: 1. Nueva mesa de ayuda de sistemas; 2. Taller de ortografía y técnicas de redacción; 3. Servicio al cliente; 4. Habilidades comunicativas; 5. Planeación y cultura financiera en el hogar; 6. Alimentación sana y hábitos saludables; 7. Lo que debes saber del sistema general de seguridad social en pensiones; 8. Manejo de la información personal</t>
        </r>
      </text>
    </comment>
    <comment ref="D83" authorId="1" shapeId="0">
      <text>
        <r>
          <rPr>
            <b/>
            <sz val="9"/>
            <color indexed="81"/>
            <rFont val="Tahoma"/>
            <family val="2"/>
          </rPr>
          <t>Gloria A. Sanchez M.:</t>
        </r>
        <r>
          <rPr>
            <sz val="9"/>
            <color indexed="81"/>
            <rFont val="Tahoma"/>
            <family val="2"/>
          </rPr>
          <t xml:space="preserve">
Determinar el porcentaje de personas vinculadas que cumplieron con los perfiles requeridos, para el cubrimiento de los diferentes cargos, garantizando que el personal sea idóneo para ellos.</t>
        </r>
      </text>
    </comment>
    <comment ref="E84" authorId="1" shapeId="0">
      <text>
        <r>
          <rPr>
            <b/>
            <sz val="9"/>
            <color indexed="81"/>
            <rFont val="Tahoma"/>
            <family val="2"/>
          </rPr>
          <t>Gloria A. Sanchez M.:</t>
        </r>
        <r>
          <rPr>
            <sz val="9"/>
            <color indexed="81"/>
            <rFont val="Tahoma"/>
            <family val="2"/>
          </rPr>
          <t xml:space="preserve">
2022-1: Se cumplió la meta estándar nacional, la seccional obtuvo un resultado del 10%, de un total de 10 trabajadores vinculados durante el primer semestre del año 2022, 9 cumplieron con el perfil, las vinculaciones fueron:
Nathalia Puerta Mejía - Coordinadora del Programa de Permanencia con Calidad Bienestar
Brenda Natalia Murillo Chará - Técnico Administrativo III Dirección Financiera
Valeria Sánchez Patiño - Técnico Administrativo III Dirección Financiera
Laura Daniela Loaiza Hernández - Técnico Administrativo II Posgrados
Luis Cristóbal Ospina Montoya - Rector Seccional
Adriana Felissa Guzmán Maya - Coordinadora de Gestión Ambiental
Widian Guasarabe Osorio - Auxiliar III de Servicios Generales
Alejandro Giraldo Maya - Profesional Universitario II Secretaría Seccional
Manuel Fernando Vanegas Vásquez - Técnico Administrativo III Dirección Financiera
Ángela María Arias Toro - Coordinadora de la Oficina de Relaciones Interinstitucionales (ORI)</t>
        </r>
      </text>
    </comment>
    <comment ref="K84" authorId="2" shapeId="0">
      <text>
        <r>
          <rPr>
            <b/>
            <sz val="9"/>
            <color indexed="81"/>
            <rFont val="Tahoma"/>
            <family val="2"/>
          </rPr>
          <t>Gloria A:</t>
        </r>
        <r>
          <rPr>
            <sz val="9"/>
            <color indexed="81"/>
            <rFont val="Tahoma"/>
            <family val="2"/>
          </rPr>
          <t xml:space="preserve">
2022-2: Se cumplió la meta estándar nacional, la seccional obtuvo un resultado del 100%, de un total de 2 trabajadores vinculados durante el segundo semestre del año 2022, 2 cumplieron con el perfil, las vinculaciones fueron:
Dora Lilia Montoya Agudelo - Aseadora y oficios varios.
Deisy Catalina Rojas Zambrano - Técnico Administrativo III Dirección Financiera</t>
        </r>
      </text>
    </comment>
    <comment ref="E86" authorId="2" shapeId="0">
      <text>
        <r>
          <rPr>
            <b/>
            <sz val="9"/>
            <color indexed="81"/>
            <rFont val="Tahoma"/>
            <family val="2"/>
          </rPr>
          <t>Gloria A:</t>
        </r>
        <r>
          <rPr>
            <sz val="9"/>
            <color indexed="81"/>
            <rFont val="Tahoma"/>
            <family val="2"/>
          </rPr>
          <t xml:space="preserve">
Desde el área de Gestión Humana se adoptó una estrategia de austeridad del gasto, y se proyectó un plan de capacitación con el apoyo del departamento de Sistemas de la Universidad, del área de Bienestar Universitario y de las cuatro Facultades. De tal forma que, las actividades de inducción y reinducción fueran pertinentes, con gran aporte para el talento humano pero sin generar costos para la Institución.</t>
        </r>
      </text>
    </comment>
    <comment ref="E87" authorId="1" shapeId="0">
      <text>
        <r>
          <rPr>
            <b/>
            <sz val="9"/>
            <color indexed="81"/>
            <rFont val="Tahoma"/>
            <family val="2"/>
          </rPr>
          <t>Gloria A. Sanchez M.:</t>
        </r>
        <r>
          <rPr>
            <sz val="9"/>
            <color indexed="81"/>
            <rFont val="Tahoma"/>
            <family val="2"/>
          </rPr>
          <t xml:space="preserve">
En el primer trimestre del año 2022 se dictaron 2 capacitaciones y/o reinducciones a saber:
NUEVA MESA DE AYUDA DE SISTEMAS: Se convocaron 144 personas y asistieron 105, esto es, un 72%
TALLER DE ORTOGRAFÍAY TÉCNICAS DE REDACCIÓN: Se convocaron 144 personas y asistieron 136, esto es, un 94%</t>
        </r>
      </text>
    </comment>
    <comment ref="H87" authorId="1" shapeId="0">
      <text>
        <r>
          <rPr>
            <b/>
            <sz val="9"/>
            <color indexed="81"/>
            <rFont val="Tahoma"/>
            <family val="2"/>
          </rPr>
          <t>Gloria A. Sanchez M.:</t>
        </r>
        <r>
          <rPr>
            <sz val="9"/>
            <color indexed="81"/>
            <rFont val="Tahoma"/>
            <family val="2"/>
          </rPr>
          <t xml:space="preserve">
En el segundo trimestre del año 2022 se dictaron 2 capacitaciones y/o reinducciones a saber:
SERVICIO AL CLIENTE: Se convocaron 144 personas y asistieron 109, esto es, un 75%
HABILIDADES COMUNICATIVAS: Se inscribieron 30 personas y asistieron 25, esto es, un 83%
PLANEACIÓN Y CULTURA FINANCIERA EN EL HOGAR: Se convocaron 144 personas y asistieron 100, esto es, un 69%</t>
        </r>
      </text>
    </comment>
    <comment ref="K87" authorId="1" shapeId="0">
      <text>
        <r>
          <rPr>
            <b/>
            <sz val="9"/>
            <color indexed="81"/>
            <rFont val="Tahoma"/>
            <family val="2"/>
          </rPr>
          <t>Gloria A. Sanchez M.:</t>
        </r>
        <r>
          <rPr>
            <sz val="9"/>
            <color indexed="81"/>
            <rFont val="Tahoma"/>
            <family val="2"/>
          </rPr>
          <t xml:space="preserve">
En el tercer trimestre del año 2022 se dictaron 2 capacitaciones y/o reinducciones a saber:
ALIMENTACIÓN SANA - HABITOS SALUDABLES: Se convocaron 144 personas y asistieron 80, esto es, un 55%
SISTEMA GENERAL DE SEGURIDAD SOCIAL EN PENSIONES: Se convocaron 144 personas y asistieron 113, esto es, un 78%</t>
        </r>
      </text>
    </comment>
    <comment ref="N87" authorId="2" shapeId="0">
      <text>
        <r>
          <rPr>
            <b/>
            <sz val="9"/>
            <color indexed="81"/>
            <rFont val="Tahoma"/>
            <family val="2"/>
          </rPr>
          <t>Gloria A:</t>
        </r>
        <r>
          <rPr>
            <sz val="9"/>
            <color indexed="81"/>
            <rFont val="Tahoma"/>
            <family val="2"/>
          </rPr>
          <t xml:space="preserve">
En el cuarto trimestre del año 2022 se dictó 1 capacitación a saber:
MANEJO DE LA INFORMACIÓN PERSONAL: Se convocaron 144 personas y asistieron 108, esto es, un 75%</t>
        </r>
      </text>
    </comment>
    <comment ref="E89" authorId="1" shapeId="0">
      <text>
        <r>
          <rPr>
            <b/>
            <sz val="9"/>
            <color indexed="81"/>
            <rFont val="Tahoma"/>
            <family val="2"/>
          </rPr>
          <t>Gloria A. Sanchez M.:</t>
        </r>
        <r>
          <rPr>
            <sz val="9"/>
            <color indexed="81"/>
            <rFont val="Tahoma"/>
            <family val="2"/>
          </rPr>
          <t xml:space="preserve">
Durante el primer trimestre del año 2022, se dictaron dos capacitaciones a saber: Nueva Mesa de Ayuda y Taller de Ortografía. Las cuales por la aplicabilidad del tema respecto al cargo que desempeñan los asistentes en la Institución; por ser los temas abordados acordes con los objetivos y las expectativas; por ser el material utilizado por el expositor claro y útil; por el conocimiento, claridad y calidad del expositor, fueron evaluadas satisfactoriamente.
</t>
        </r>
      </text>
    </comment>
    <comment ref="H89" authorId="1" shapeId="0">
      <text>
        <r>
          <rPr>
            <b/>
            <sz val="9"/>
            <color indexed="81"/>
            <rFont val="Tahoma"/>
            <family val="2"/>
          </rPr>
          <t>Gloria A. Sanchez M.:</t>
        </r>
        <r>
          <rPr>
            <sz val="9"/>
            <color indexed="81"/>
            <rFont val="Tahoma"/>
            <family val="2"/>
          </rPr>
          <t xml:space="preserve">
Durante el segundo trimestre del año 2022, se dictaron tres capacitaciones a saber: Servicio al cliente, Habilidades Comunicativas y Planeación y Cultura Financiera en el Hogar. Las cuales por la aplicabilidad del tema respecto al cargo que desempeñan los asistentes en la Institución; por ser los temas abordados acordes con los objetivos y las expectativas; por ser el material utilizado por el expositor claro y útil; por el conocimiento, claridad y calidad del expositor, fueron evaluadas satisfactoriamente.</t>
        </r>
      </text>
    </comment>
    <comment ref="K89" authorId="1" shapeId="0">
      <text>
        <r>
          <rPr>
            <b/>
            <sz val="9"/>
            <color indexed="81"/>
            <rFont val="Tahoma"/>
            <family val="2"/>
          </rPr>
          <t>Gloria A. Sanchez M.:</t>
        </r>
        <r>
          <rPr>
            <sz val="9"/>
            <color indexed="81"/>
            <rFont val="Tahoma"/>
            <family val="2"/>
          </rPr>
          <t xml:space="preserve">
Durante el tercer trimestre del año 2022, se dictaron dos capacitaciones a saber: Habitos Saludables y Seguridad Social en Pensiones. Las cuales por la aplicabilidad del tema respecto al cargo que desempeñan los asistentes en la Institución; por ser los temas abordados acordes con los objetivos y las expectativas; por ser el material utilizado por el expositor claro y útil; por el conocimiento, claridad y calidad del expositor, fueron evaluadas satisfactoriamente.</t>
        </r>
      </text>
    </comment>
    <comment ref="N89" authorId="2" shapeId="0">
      <text>
        <r>
          <rPr>
            <b/>
            <sz val="9"/>
            <color indexed="81"/>
            <rFont val="Tahoma"/>
            <family val="2"/>
          </rPr>
          <t>Gloria A:</t>
        </r>
        <r>
          <rPr>
            <sz val="9"/>
            <color indexed="81"/>
            <rFont val="Tahoma"/>
            <family val="2"/>
          </rPr>
          <t xml:space="preserve">
Durante el cuarto trimestre del año 2022, se dictó una capacitación a saber: Manejo de la Información Personal. La cual por la aplicabilidad del tema respecto al cargo que desempeñan los asistentes en la Institución; por ser los temas abordados acordes con los objetivos y las expectativas; por ser el material utilizado por el expositor claro y útil; por el conocimiento, claridad y calidad del expositor, fue evaluada satisfactoriamente.</t>
        </r>
      </text>
    </comment>
    <comment ref="E91" authorId="1" shapeId="0">
      <text>
        <r>
          <rPr>
            <b/>
            <sz val="9"/>
            <color indexed="81"/>
            <rFont val="Tahoma"/>
            <family val="2"/>
          </rPr>
          <t>Gloria A. Sanchez M.:</t>
        </r>
        <r>
          <rPr>
            <sz val="9"/>
            <color indexed="81"/>
            <rFont val="Tahoma"/>
            <family val="2"/>
          </rPr>
          <t xml:space="preserve">
En el periodo comprendido de enero a diciembre de 2022 no se presentaron casos de EL, ni fueron detectados casos de años anteriores. El promedio de trabajadores al año fue de 1081.</t>
        </r>
      </text>
    </comment>
    <comment ref="E92" authorId="3" shapeId="0">
      <text>
        <r>
          <rPr>
            <b/>
            <sz val="9"/>
            <color indexed="81"/>
            <rFont val="Tahoma"/>
            <family val="2"/>
          </rPr>
          <t>Docente:</t>
        </r>
        <r>
          <rPr>
            <sz val="9"/>
            <color indexed="81"/>
            <rFont val="Tahoma"/>
            <family val="2"/>
          </rPr>
          <t xml:space="preserve">
El índice de ausentismo para el mes de enero fue de 316%. teniendo en cuenta que se presentaron 38 días de ausencia del algunos trabajadores por enfermedad común, frente a 12 días programados para laborar en este mes, no se evidencia incapacidad por origen laboral.</t>
        </r>
      </text>
    </comment>
    <comment ref="F92" authorId="1" shapeId="0">
      <text>
        <r>
          <rPr>
            <b/>
            <sz val="9"/>
            <color indexed="81"/>
            <rFont val="Tahoma"/>
            <family val="2"/>
          </rPr>
          <t>Gloria A. Sanchez M.:</t>
        </r>
        <r>
          <rPr>
            <sz val="9"/>
            <color indexed="81"/>
            <rFont val="Tahoma"/>
            <family val="2"/>
          </rPr>
          <t xml:space="preserve">
El índice de ausentismo para el mes de febrero fue de 590%. teniendo en cuenta que se presentaron 20 días de ausencia del algunos trabajadores por enfermedad común, frente a 20 días programados para laborar en este mes.</t>
        </r>
      </text>
    </comment>
    <comment ref="G92" authorId="1" shapeId="0">
      <text>
        <r>
          <rPr>
            <b/>
            <sz val="9"/>
            <color indexed="81"/>
            <rFont val="Tahoma"/>
            <family val="2"/>
          </rPr>
          <t>Gloria A. Sanchez M.:</t>
        </r>
        <r>
          <rPr>
            <sz val="9"/>
            <color indexed="81"/>
            <rFont val="Tahoma"/>
            <family val="2"/>
          </rPr>
          <t xml:space="preserve">
El índice de ausentismo para el mes de marzo fue de 777%. teniendo en cuenta que se presentaron 171 días de ausencia del algunos trabajadores por enfermedad común, frente a 22 días programados para laborar en este mes.</t>
        </r>
      </text>
    </comment>
    <comment ref="H92" authorId="1" shapeId="0">
      <text>
        <r>
          <rPr>
            <b/>
            <sz val="9"/>
            <color indexed="81"/>
            <rFont val="Tahoma"/>
            <family val="2"/>
          </rPr>
          <t>Gloria A. Sanchez M.:</t>
        </r>
        <r>
          <rPr>
            <sz val="9"/>
            <color indexed="81"/>
            <rFont val="Tahoma"/>
            <family val="2"/>
          </rPr>
          <t xml:space="preserve">
El índice de ausentismo para el mes de abril fue de 862%. teniendo en cuenta que se presentaron 138 días de ausencia del algunos trabajadores por enfermedad común, frente a 16 días programados para laborar en este mes.</t>
        </r>
      </text>
    </comment>
    <comment ref="I92" authorId="1" shapeId="0">
      <text>
        <r>
          <rPr>
            <b/>
            <sz val="9"/>
            <color indexed="81"/>
            <rFont val="Tahoma"/>
            <family val="2"/>
          </rPr>
          <t>Gloria A. Sanchez M.:</t>
        </r>
        <r>
          <rPr>
            <sz val="9"/>
            <color indexed="81"/>
            <rFont val="Tahoma"/>
            <family val="2"/>
          </rPr>
          <t xml:space="preserve">
El índice de ausentismo para el mes de mayo fue de 557%. teniendo en cuenta que se presentaron 99 días de ausencia del algunos trabajadores por enfermedad común y 18 días por enfermedad laboral, frente a 21 días programados para laborar en este mes.</t>
        </r>
      </text>
    </comment>
    <comment ref="J92" authorId="1" shapeId="0">
      <text>
        <r>
          <rPr>
            <b/>
            <sz val="9"/>
            <color indexed="81"/>
            <rFont val="Tahoma"/>
            <family val="2"/>
          </rPr>
          <t>Gloria A. Sanchez M.:</t>
        </r>
        <r>
          <rPr>
            <sz val="9"/>
            <color indexed="81"/>
            <rFont val="Tahoma"/>
            <family val="2"/>
          </rPr>
          <t xml:space="preserve">
El índice de ausentismo para el mes de Junio fue de 515%. teniendo en cuenta que se presentaron 101 días de ausencia del algunos trabajadores por enfermedad común y 2 días por enfermedad laboral, frente a 20 días programados para laborar en este mes.</t>
        </r>
      </text>
    </comment>
    <comment ref="K92" authorId="1" shapeId="0">
      <text>
        <r>
          <rPr>
            <b/>
            <sz val="9"/>
            <color indexed="81"/>
            <rFont val="Tahoma"/>
            <family val="2"/>
          </rPr>
          <t>Gloria A. Sanchez M.:</t>
        </r>
        <r>
          <rPr>
            <sz val="9"/>
            <color indexed="81"/>
            <rFont val="Tahoma"/>
            <family val="2"/>
          </rPr>
          <t xml:space="preserve">
El índice de ausentismo para el mes de Julio fue de 585%. teniendo en cuenta que se presentaron 117 días de ausencia del algunos trabajadores por enfermedad común, sin días registrados por enfermedad laboral, frente a 20 días programados para laborar en este mes.</t>
        </r>
      </text>
    </comment>
    <comment ref="L92" authorId="1" shapeId="0">
      <text>
        <r>
          <rPr>
            <b/>
            <sz val="9"/>
            <color indexed="81"/>
            <rFont val="Tahoma"/>
            <family val="2"/>
          </rPr>
          <t>Gloria A. Sanchez M.:</t>
        </r>
        <r>
          <rPr>
            <sz val="9"/>
            <color indexed="81"/>
            <rFont val="Tahoma"/>
            <family val="2"/>
          </rPr>
          <t xml:space="preserve">
El índice de ausentismo para el mes de agosto fue de 159.09%. teniendo en cuenta que se presentaron 35 días de ausencia del algunos trabajadores por enfermedad común, sin días registrados por enfermedad laboral, frente a 22 días programados para laborar en este mes.
</t>
        </r>
      </text>
    </comment>
    <comment ref="M92" authorId="1" shapeId="0">
      <text>
        <r>
          <rPr>
            <b/>
            <sz val="9"/>
            <color indexed="81"/>
            <rFont val="Tahoma"/>
            <family val="2"/>
          </rPr>
          <t>Gloria A. Sanchez M.:</t>
        </r>
        <r>
          <rPr>
            <sz val="9"/>
            <color indexed="81"/>
            <rFont val="Tahoma"/>
            <family val="2"/>
          </rPr>
          <t xml:space="preserve">
El índice de ausentismo para el mes de septiembre fue de 540.91%. teniendo en cuenta que se presentaron 119 días de ausencia del algunos trabajadores por enfermedad común, sin días registrados por enfermedad laboral, frente a 22 días programados para laborar en este mes.</t>
        </r>
      </text>
    </comment>
    <comment ref="N92" authorId="1" shapeId="0">
      <text>
        <r>
          <rPr>
            <b/>
            <sz val="9"/>
            <color indexed="81"/>
            <rFont val="Tahoma"/>
            <family val="2"/>
          </rPr>
          <t>Gloria A. Sanchez M.:</t>
        </r>
        <r>
          <rPr>
            <sz val="9"/>
            <color indexed="81"/>
            <rFont val="Tahoma"/>
            <family val="2"/>
          </rPr>
          <t xml:space="preserve">
El índice de ausentismo para el mes de octubre fue de 650%. teniendo en cuenta que se presentaron 130 días de ausencia del algunos trabajadores por enfermedad común, sin días registrados por enfermedad laboral, frente a 20 días programados para laborar en este mes.</t>
        </r>
      </text>
    </comment>
    <comment ref="O92" authorId="1" shapeId="0">
      <text>
        <r>
          <rPr>
            <b/>
            <sz val="9"/>
            <color indexed="81"/>
            <rFont val="Tahoma"/>
            <family val="2"/>
          </rPr>
          <t>Gloria A. Sanchez M.:</t>
        </r>
        <r>
          <rPr>
            <sz val="9"/>
            <color indexed="81"/>
            <rFont val="Tahoma"/>
            <family val="2"/>
          </rPr>
          <t xml:space="preserve">
El índice de ausentismo para el mes de noviembre fue de 580%. teniendo en cuenta que se presentaron 116 días de ausencia del algunos trabajadores por enfermedad común, sin días registrados por enfermedad laboral, frente a 20 días programados para laborar en este mes.</t>
        </r>
      </text>
    </comment>
    <comment ref="P92" authorId="1" shapeId="0">
      <text>
        <r>
          <rPr>
            <b/>
            <sz val="9"/>
            <color indexed="81"/>
            <rFont val="Tahoma"/>
            <family val="2"/>
          </rPr>
          <t>Gloria A. Sanchez M.:</t>
        </r>
        <r>
          <rPr>
            <sz val="9"/>
            <color indexed="81"/>
            <rFont val="Tahoma"/>
            <family val="2"/>
          </rPr>
          <t xml:space="preserve">
El índice de ausentismo para el mes de noviembre fue de 418%. teniendo en cuenta que se presentaron 46 días de ausencia del algunos trabajadores por enfermedad común, sin días registrados por enfermedad laboral, frente a 11 días programados para laborar en este mes.
</t>
        </r>
      </text>
    </comment>
    <comment ref="E94" authorId="1" shapeId="0">
      <text>
        <r>
          <rPr>
            <b/>
            <sz val="9"/>
            <color indexed="81"/>
            <rFont val="Tahoma"/>
            <family val="2"/>
          </rPr>
          <t>Gloria A. Sanchez M.:</t>
        </r>
        <r>
          <rPr>
            <sz val="9"/>
            <color indexed="81"/>
            <rFont val="Tahoma"/>
            <family val="2"/>
          </rPr>
          <t xml:space="preserve">
Durante el mes de enero no se presentan accidentes de trabajo (AT) en la seccional Pereira, lo cual se refleja en 0% del indicador del mes, de un total de 546 trabajadores entre administrativos, docentes y estudiantes en práctica
</t>
        </r>
      </text>
    </comment>
    <comment ref="F94" authorId="1" shapeId="0">
      <text>
        <r>
          <rPr>
            <b/>
            <sz val="9"/>
            <color indexed="81"/>
            <rFont val="Tahoma"/>
            <family val="2"/>
          </rPr>
          <t>Gloria A. Sanchez M.:</t>
        </r>
        <r>
          <rPr>
            <sz val="9"/>
            <color indexed="81"/>
            <rFont val="Tahoma"/>
            <family val="2"/>
          </rPr>
          <t xml:space="preserve">
Durante el mes de febrero no se presentan accidentes de trabajo (AT) en la seccional Pereira.</t>
        </r>
      </text>
    </comment>
    <comment ref="G94" authorId="1" shapeId="0">
      <text>
        <r>
          <rPr>
            <b/>
            <sz val="9"/>
            <color indexed="81"/>
            <rFont val="Tahoma"/>
            <family val="2"/>
          </rPr>
          <t>Gloria A. Sanchez M.:</t>
        </r>
        <r>
          <rPr>
            <sz val="9"/>
            <color indexed="81"/>
            <rFont val="Tahoma"/>
            <family val="2"/>
          </rPr>
          <t xml:space="preserve">
Para el mes de Marzo de 2022, se presentaron 2 accidentes de trabajo con una población de 1177 trabajadores, generando un IF de 0,88 en la Seccional Pereira.</t>
        </r>
      </text>
    </comment>
    <comment ref="H94" authorId="1" shapeId="0">
      <text>
        <r>
          <rPr>
            <b/>
            <sz val="9"/>
            <color indexed="81"/>
            <rFont val="Tahoma"/>
            <family val="2"/>
          </rPr>
          <t>Gloria A. Sanchez M.:</t>
        </r>
        <r>
          <rPr>
            <sz val="9"/>
            <color indexed="81"/>
            <rFont val="Tahoma"/>
            <family val="2"/>
          </rPr>
          <t xml:space="preserve">
Para el mes de Abril de 2022, se presentó 1 accidente de trabajo con una población de 1236 trabajadores, generando un IF de 0,08 en la Seccional Pereira.</t>
        </r>
      </text>
    </comment>
    <comment ref="I94" authorId="1" shapeId="0">
      <text>
        <r>
          <rPr>
            <b/>
            <sz val="9"/>
            <color indexed="81"/>
            <rFont val="Tahoma"/>
            <family val="2"/>
          </rPr>
          <t>Gloria A. Sanchez M.:</t>
        </r>
        <r>
          <rPr>
            <sz val="9"/>
            <color indexed="81"/>
            <rFont val="Tahoma"/>
            <family val="2"/>
          </rPr>
          <t xml:space="preserve">
Para el mes de Mayo de 2022, se presentó 1 accidente de trabajo con una población de 1196 trabajadores, generando un IF de 0,08 en la Seccional Pereira.</t>
        </r>
      </text>
    </comment>
    <comment ref="J94" authorId="1" shapeId="0">
      <text>
        <r>
          <rPr>
            <b/>
            <sz val="9"/>
            <color indexed="81"/>
            <rFont val="Tahoma"/>
            <family val="2"/>
          </rPr>
          <t>Gloria A. Sanchez M.:</t>
        </r>
        <r>
          <rPr>
            <sz val="9"/>
            <color indexed="81"/>
            <rFont val="Tahoma"/>
            <family val="2"/>
          </rPr>
          <t xml:space="preserve">
Para el mes de Junio de 2022, se presentó 1 accidente de trabajo con una población de 1114 trabajadores, generando un IF de 0,09 en la Seccional Pereira.</t>
        </r>
      </text>
    </comment>
    <comment ref="K94" authorId="1" shapeId="0">
      <text>
        <r>
          <rPr>
            <b/>
            <sz val="9"/>
            <color indexed="81"/>
            <rFont val="Tahoma"/>
            <family val="2"/>
          </rPr>
          <t>Gloria A. Sanchez M.:</t>
        </r>
        <r>
          <rPr>
            <sz val="9"/>
            <color indexed="81"/>
            <rFont val="Tahoma"/>
            <family val="2"/>
          </rPr>
          <t xml:space="preserve">
Para el mes de Julio de 2022, se presentó 1 accidente de trabajo con una población de 1089 trabajadores, generando un IF de 0,09 en la Seccional Pereira.</t>
        </r>
      </text>
    </comment>
    <comment ref="L94" authorId="1" shapeId="0">
      <text>
        <r>
          <rPr>
            <b/>
            <sz val="9"/>
            <color indexed="81"/>
            <rFont val="Tahoma"/>
            <family val="2"/>
          </rPr>
          <t>Gloria A. Sanchez M.:</t>
        </r>
        <r>
          <rPr>
            <sz val="9"/>
            <color indexed="81"/>
            <rFont val="Tahoma"/>
            <family val="2"/>
          </rPr>
          <t xml:space="preserve">
Para el mes de Agosto de 2022, se presentaron 2accidentes de trabajo con una población de 1129 trabajadores, generando un IF de 0,09 para este mes en la Seccional Pereira.</t>
        </r>
      </text>
    </comment>
    <comment ref="M94" authorId="1" shapeId="0">
      <text>
        <r>
          <rPr>
            <b/>
            <sz val="9"/>
            <color indexed="81"/>
            <rFont val="Tahoma"/>
            <family val="2"/>
          </rPr>
          <t>Gloria A. Sanchez M.:</t>
        </r>
        <r>
          <rPr>
            <sz val="9"/>
            <color indexed="81"/>
            <rFont val="Tahoma"/>
            <family val="2"/>
          </rPr>
          <t xml:space="preserve">
Para el mes de Septiembre de 2022, se presentó 1 accidente de trabajo con una población de 1215 trabajadores, generando un IF de 0,08 para este mes en la Seccional Pereira.</t>
        </r>
      </text>
    </comment>
    <comment ref="N94" authorId="1" shapeId="0">
      <text>
        <r>
          <rPr>
            <b/>
            <sz val="9"/>
            <color indexed="81"/>
            <rFont val="Tahoma"/>
            <family val="2"/>
          </rPr>
          <t>Gloria A. Sanchez M.:</t>
        </r>
        <r>
          <rPr>
            <sz val="9"/>
            <color indexed="81"/>
            <rFont val="Tahoma"/>
            <family val="2"/>
          </rPr>
          <t xml:space="preserve">
Para el mes de Noviembre de 2022, se presentó 1 accidente de trabajo con una población de 1122 trabajadores, generando un IF de 0,09 para este mes en la Seccional Pereira.</t>
        </r>
      </text>
    </comment>
    <comment ref="O94" authorId="1" shapeId="0">
      <text>
        <r>
          <rPr>
            <b/>
            <sz val="9"/>
            <color indexed="81"/>
            <rFont val="Tahoma"/>
            <family val="2"/>
          </rPr>
          <t>Gloria A. Sanchez M.:</t>
        </r>
        <r>
          <rPr>
            <sz val="9"/>
            <color indexed="81"/>
            <rFont val="Tahoma"/>
            <family val="2"/>
          </rPr>
          <t xml:space="preserve">
Para el mes de Noviembre de 2022, se presentó 1 accidente de trabajo con una población de 1122 trabajadores, generando un IF de 0,09 para este mes en la Seccional Pereira.</t>
        </r>
      </text>
    </comment>
    <comment ref="P94" authorId="2" shapeId="0">
      <text>
        <r>
          <rPr>
            <b/>
            <sz val="9"/>
            <color indexed="81"/>
            <rFont val="Tahoma"/>
            <family val="2"/>
          </rPr>
          <t>Gloria A:</t>
        </r>
        <r>
          <rPr>
            <sz val="9"/>
            <color indexed="81"/>
            <rFont val="Tahoma"/>
            <family val="2"/>
          </rPr>
          <t xml:space="preserve">
Para el mes de Diciembre de 2022, no se presentaron accidentes de trabajo. la población de trabajadores de este mes fue de 408 trabajadores, generando un IF de 0,0 para este mes en la Seccional Pereira.</t>
        </r>
      </text>
    </comment>
    <comment ref="E96" authorId="3" shapeId="0">
      <text>
        <r>
          <rPr>
            <b/>
            <sz val="9"/>
            <color indexed="81"/>
            <rFont val="Tahoma"/>
            <family val="2"/>
          </rPr>
          <t>Docente:</t>
        </r>
        <r>
          <rPr>
            <sz val="9"/>
            <color indexed="81"/>
            <rFont val="Tahoma"/>
            <family val="2"/>
          </rPr>
          <t xml:space="preserve">
Debido a que durante el mes de enero no se presentó ningún accidente laboral, tampoco se presentaron días perdidos provenientes de incapacidades derivadas de dichos eventos , con un total de 546 trabajadores activos, incluyendo estudiantes de prácticas reportados a la fecha por las Facultades.</t>
        </r>
      </text>
    </comment>
    <comment ref="F96" authorId="1" shapeId="0">
      <text>
        <r>
          <rPr>
            <b/>
            <sz val="9"/>
            <color indexed="81"/>
            <rFont val="Tahoma"/>
            <family val="2"/>
          </rPr>
          <t>Gloria A. Sanchez M.:</t>
        </r>
        <r>
          <rPr>
            <sz val="9"/>
            <color indexed="81"/>
            <rFont val="Tahoma"/>
            <family val="2"/>
          </rPr>
          <t xml:space="preserve">
Para el mes de Febrero de 2022, se presentaron 30 días de incapacidad por accidentes de trabajo para la seccional Pereira.</t>
        </r>
      </text>
    </comment>
    <comment ref="G96" authorId="1" shapeId="0">
      <text>
        <r>
          <rPr>
            <b/>
            <sz val="9"/>
            <color indexed="81"/>
            <rFont val="Tahoma"/>
            <family val="2"/>
          </rPr>
          <t>Gloria A. Sanchez M.:</t>
        </r>
        <r>
          <rPr>
            <sz val="9"/>
            <color indexed="81"/>
            <rFont val="Tahoma"/>
            <family val="2"/>
          </rPr>
          <t xml:space="preserve">
Para el mes de Marzo de 2022, se presentaron 34 días de incapacidad por accidentes de trabajo para la seccional Pereira , con un total de 1.177 trabajadores activos, incluyendo estudiantes de prácticas</t>
        </r>
      </text>
    </comment>
    <comment ref="H96" authorId="1" shapeId="0">
      <text>
        <r>
          <rPr>
            <b/>
            <sz val="9"/>
            <color indexed="81"/>
            <rFont val="Tahoma"/>
            <family val="2"/>
          </rPr>
          <t>Gloria A. Sanchez M.:</t>
        </r>
        <r>
          <rPr>
            <sz val="9"/>
            <color indexed="81"/>
            <rFont val="Tahoma"/>
            <family val="2"/>
          </rPr>
          <t xml:space="preserve">
Para el mes de Abril de 2022, se presentaron 37 días de incapacidad por accidentes de trabajo para la seccional Pereira , con un total de 1.236 trabajadores activos, incluyendo estudiantes de prácticas.</t>
        </r>
      </text>
    </comment>
    <comment ref="I96" authorId="1" shapeId="0">
      <text>
        <r>
          <rPr>
            <b/>
            <sz val="9"/>
            <color indexed="81"/>
            <rFont val="Tahoma"/>
            <family val="2"/>
          </rPr>
          <t>Gloria A. Sanchez M.:
P</t>
        </r>
        <r>
          <rPr>
            <sz val="9"/>
            <color indexed="81"/>
            <rFont val="Tahoma"/>
            <family val="2"/>
          </rPr>
          <t xml:space="preserve">ara el mes de Mayo de 2022, se presentaron 31 días de incapacidad por accidentes de trabajo para la seccional Pereira , con un total de 1.196 trabajadores activos, incluyendo estudiantes de prácticas.
</t>
        </r>
        <r>
          <rPr>
            <b/>
            <sz val="9"/>
            <color indexed="81"/>
            <rFont val="Tahoma"/>
            <family val="2"/>
          </rPr>
          <t xml:space="preserve">
</t>
        </r>
      </text>
    </comment>
    <comment ref="J96" authorId="1" shapeId="0">
      <text>
        <r>
          <rPr>
            <sz val="9"/>
            <color indexed="81"/>
            <rFont val="Tahoma"/>
            <family val="2"/>
          </rPr>
          <t>Para el mes de Junio de 2022, se presentaron 2 días de incapacidad por accidentes de trabajo para la seccional Pereira , con un total de 1.114 trabajadores activos, incluyendo estudiantes de prácticas..</t>
        </r>
      </text>
    </comment>
    <comment ref="K96" authorId="1" shapeId="0">
      <text>
        <r>
          <rPr>
            <b/>
            <sz val="9"/>
            <color indexed="81"/>
            <rFont val="Tahoma"/>
            <family val="2"/>
          </rPr>
          <t>Gloria A. Sanchez M.:</t>
        </r>
        <r>
          <rPr>
            <sz val="9"/>
            <color indexed="81"/>
            <rFont val="Tahoma"/>
            <family val="2"/>
          </rPr>
          <t xml:space="preserve">
Para el mes de Julio de 2022, no se presentaron días de incapacidad por accidentes de trabajo para la seccional Pereira en 19 días laborales del mes , con un total de 1.089 trabajadores activos, incluyendo estudiantes de prácticas.</t>
        </r>
      </text>
    </comment>
    <comment ref="L96" authorId="1" shapeId="0">
      <text>
        <r>
          <rPr>
            <sz val="9"/>
            <color indexed="81"/>
            <rFont val="Tahoma"/>
            <family val="2"/>
          </rPr>
          <t xml:space="preserve">Para el mes de Agosto de 2022, no se presentaron días de incapacidad por accidentes de trabajo para la seccional Pereira en 22 días laborales del mes , con un total de 1.129 trabajadores activos, incluyendo estudiantes de prácticas.
</t>
        </r>
      </text>
    </comment>
    <comment ref="M96" authorId="1" shapeId="0">
      <text>
        <r>
          <rPr>
            <b/>
            <sz val="9"/>
            <color indexed="81"/>
            <rFont val="Tahoma"/>
            <family val="2"/>
          </rPr>
          <t>Gloria A. Sanchez M.:</t>
        </r>
        <r>
          <rPr>
            <sz val="9"/>
            <color indexed="81"/>
            <rFont val="Tahoma"/>
            <family val="2"/>
          </rPr>
          <t xml:space="preserve">
Para el mes de Septiembre de 2022, no se presentaron días de incapacidad por accidentes de trabajo para la seccional Pereira en 22 días laborales del mes.</t>
        </r>
      </text>
    </comment>
    <comment ref="N96" authorId="1" shapeId="0">
      <text>
        <r>
          <rPr>
            <b/>
            <sz val="9"/>
            <color indexed="81"/>
            <rFont val="Tahoma"/>
            <family val="2"/>
          </rPr>
          <t>Gloria A. Sanchez M.:</t>
        </r>
        <r>
          <rPr>
            <sz val="9"/>
            <color indexed="81"/>
            <rFont val="Tahoma"/>
            <family val="2"/>
          </rPr>
          <t xml:space="preserve">
Para el mes de Octubre de 2022, no se presentaron días de incapacidad por accidentes de trabajo para la seccional Pereira en 25 días laborales del mes. , con un total de 1.118 trabajadores activos, incluyendo estudiantes de prácticas.</t>
        </r>
      </text>
    </comment>
    <comment ref="O96" authorId="1" shapeId="0">
      <text>
        <r>
          <rPr>
            <b/>
            <sz val="9"/>
            <color indexed="81"/>
            <rFont val="Tahoma"/>
            <family val="2"/>
          </rPr>
          <t>Gloria A. Sanchez M.:</t>
        </r>
        <r>
          <rPr>
            <sz val="9"/>
            <color indexed="81"/>
            <rFont val="Tahoma"/>
            <family val="2"/>
          </rPr>
          <t xml:space="preserve">
ara el mes de Noviembre de 2022, no se presentaron días de incapacidad por accidentes de trabajo para la seccional Pereira en 20 días laborales del mes , con un total de 1.122 trabajadores activos, incluyendo estudiantes de prácticas.</t>
        </r>
      </text>
    </comment>
    <comment ref="P96" authorId="1" shapeId="0">
      <text>
        <r>
          <rPr>
            <b/>
            <sz val="9"/>
            <color indexed="81"/>
            <rFont val="Tahoma"/>
            <family val="2"/>
          </rPr>
          <t>Gloria A. Sanchez M.:</t>
        </r>
        <r>
          <rPr>
            <sz val="9"/>
            <color indexed="81"/>
            <rFont val="Tahoma"/>
            <family val="2"/>
          </rPr>
          <t xml:space="preserve">
ara el mes de diciembre de 2022, no se presentaron días de incapacidad por accidentes de trabajo para la seccional Pereira en 11 días laborales del mes, con un total de 408 trabajadores activos, para este período ya no se incluyen los estudiantes de prácticas</t>
        </r>
      </text>
    </comment>
    <comment ref="E98" authorId="1" shapeId="0">
      <text>
        <r>
          <rPr>
            <b/>
            <sz val="9"/>
            <color indexed="81"/>
            <rFont val="Tahoma"/>
            <family val="2"/>
          </rPr>
          <t>Gloria A. Sanchez M.:</t>
        </r>
        <r>
          <rPr>
            <sz val="9"/>
            <color indexed="81"/>
            <rFont val="Tahoma"/>
            <family val="2"/>
          </rPr>
          <t xml:space="preserve">
No se presentaron casos de AT Mortales, ni accidentes de trabajo en el mes de enero de 2022</t>
        </r>
      </text>
    </comment>
    <comment ref="F98" authorId="1" shapeId="0">
      <text>
        <r>
          <rPr>
            <b/>
            <sz val="9"/>
            <color indexed="81"/>
            <rFont val="Tahoma"/>
            <family val="2"/>
          </rPr>
          <t>Gloria A. Sanchez M.:</t>
        </r>
        <r>
          <rPr>
            <sz val="9"/>
            <color indexed="81"/>
            <rFont val="Tahoma"/>
            <family val="2"/>
          </rPr>
          <t xml:space="preserve">
Para el mes de Febrero de 2022, no se han presentado accidentes de trabajo mortales en la seccional Pereira.</t>
        </r>
      </text>
    </comment>
    <comment ref="G98" authorId="1" shapeId="0">
      <text>
        <r>
          <rPr>
            <b/>
            <sz val="9"/>
            <color indexed="81"/>
            <rFont val="Tahoma"/>
            <family val="2"/>
          </rPr>
          <t>Gloria A. Sanchez M.:</t>
        </r>
        <r>
          <rPr>
            <sz val="9"/>
            <color indexed="81"/>
            <rFont val="Tahoma"/>
            <family val="2"/>
          </rPr>
          <t xml:space="preserve">
ara el mes de Marzo de 2022, no se han presentado accidentes de trabajo mortales. En lo corrido del año se han presentado dos accidentes de trabajo leves y uno AT grave en la seccional Pereira.</t>
        </r>
      </text>
    </comment>
    <comment ref="H98" authorId="1" shapeId="0">
      <text>
        <r>
          <rPr>
            <b/>
            <sz val="9"/>
            <color indexed="81"/>
            <rFont val="Tahoma"/>
            <family val="2"/>
          </rPr>
          <t>Gloria A. Sanchez M.:</t>
        </r>
        <r>
          <rPr>
            <sz val="9"/>
            <color indexed="81"/>
            <rFont val="Tahoma"/>
            <family val="2"/>
          </rPr>
          <t xml:space="preserve">
Para el mes de Abril de 2022, no se han presentado accidentes de trabajo mortales. En lo corrido del año se han presentado 3 accidentes de trabajo leves y 1 AT grave en la seccional Pereira.</t>
        </r>
      </text>
    </comment>
    <comment ref="I98" authorId="1" shapeId="0">
      <text>
        <r>
          <rPr>
            <b/>
            <sz val="9"/>
            <color indexed="81"/>
            <rFont val="Tahoma"/>
            <family val="2"/>
          </rPr>
          <t>Gloria A. Sanchez M.:</t>
        </r>
        <r>
          <rPr>
            <sz val="9"/>
            <color indexed="81"/>
            <rFont val="Tahoma"/>
            <family val="2"/>
          </rPr>
          <t xml:space="preserve">
Para el mes de Mayo de 2022, no se han presentado accidentes de trabajo mortales. En lo corrido del año se han presentado 4 accidentes de trabajo leves y 1 AT grave en la seccional Pereira.</t>
        </r>
      </text>
    </comment>
    <comment ref="J98" authorId="1" shapeId="0">
      <text>
        <r>
          <rPr>
            <b/>
            <sz val="9"/>
            <color indexed="81"/>
            <rFont val="Tahoma"/>
            <family val="2"/>
          </rPr>
          <t>Gloria A. Sanchez M.:</t>
        </r>
        <r>
          <rPr>
            <sz val="9"/>
            <color indexed="81"/>
            <rFont val="Tahoma"/>
            <family val="2"/>
          </rPr>
          <t xml:space="preserve">
Para el mes de Junio de 2022, no se han presentado accidentes de trabajo mortales. En lo corrido del año se han presentado 5 accidentes de trabajo leves y 1 AT grave en la seccional Pereira.
</t>
        </r>
      </text>
    </comment>
    <comment ref="K98" authorId="1" shapeId="0">
      <text>
        <r>
          <rPr>
            <b/>
            <sz val="9"/>
            <color indexed="81"/>
            <rFont val="Tahoma"/>
            <family val="2"/>
          </rPr>
          <t>Gloria A. Sanchez M.:</t>
        </r>
        <r>
          <rPr>
            <sz val="9"/>
            <color indexed="81"/>
            <rFont val="Tahoma"/>
            <family val="2"/>
          </rPr>
          <t xml:space="preserve">
Para el mes de Julio de 2022, no se han presentado accidentes de trabajo mortales. En lo corrido del año se han presentado 6 accidentes de trabajo leves y 1 AT grave en la seccional Pereira.</t>
        </r>
      </text>
    </comment>
    <comment ref="L98" authorId="1" shapeId="0">
      <text>
        <r>
          <rPr>
            <b/>
            <sz val="9"/>
            <color indexed="81"/>
            <rFont val="Tahoma"/>
            <family val="2"/>
          </rPr>
          <t>Gloria A. Sanchez M.:</t>
        </r>
        <r>
          <rPr>
            <sz val="9"/>
            <color indexed="81"/>
            <rFont val="Tahoma"/>
            <family val="2"/>
          </rPr>
          <t xml:space="preserve">
Para el mes de Agosto de 2022, no se han presentado accidentes de trabajo mortales. En lo corrido del año se han presentado 7 accidentes de trabajo leves y 1 AT grave en la seccional Pereira.</t>
        </r>
      </text>
    </comment>
    <comment ref="M98" authorId="1" shapeId="0">
      <text>
        <r>
          <rPr>
            <b/>
            <sz val="9"/>
            <color indexed="81"/>
            <rFont val="Tahoma"/>
            <family val="2"/>
          </rPr>
          <t>Gloria A. Sanchez M.:</t>
        </r>
        <r>
          <rPr>
            <sz val="9"/>
            <color indexed="81"/>
            <rFont val="Tahoma"/>
            <family val="2"/>
          </rPr>
          <t xml:space="preserve">
Para el mes de Septiembre de 2022, no se han presentado accidentes de trabajo mortales. En lo corrido del año se han presentado 7 accidentes de trabajo leves y 1 AT grave en la seccional Pereira.
</t>
        </r>
      </text>
    </comment>
    <comment ref="N98" authorId="1" shapeId="0">
      <text>
        <r>
          <rPr>
            <b/>
            <sz val="9"/>
            <color indexed="81"/>
            <rFont val="Tahoma"/>
            <family val="2"/>
          </rPr>
          <t>Gloria A. Sanchez M.:</t>
        </r>
        <r>
          <rPr>
            <sz val="9"/>
            <color indexed="81"/>
            <rFont val="Tahoma"/>
            <family val="2"/>
          </rPr>
          <t xml:space="preserve">
Para el mes de Octubre de 2022, no se han presentado accidentes de trabajo mortales. En lo corrido del año se han presentado 8 accidentes de trabajo leves y 1 AT grave en la seccional Pereira.
</t>
        </r>
      </text>
    </comment>
    <comment ref="O98" authorId="1" shapeId="0">
      <text>
        <r>
          <rPr>
            <b/>
            <sz val="9"/>
            <color indexed="81"/>
            <rFont val="Tahoma"/>
            <family val="2"/>
          </rPr>
          <t>Gloria A. Sanchez M.:</t>
        </r>
        <r>
          <rPr>
            <sz val="9"/>
            <color indexed="81"/>
            <rFont val="Tahoma"/>
            <family val="2"/>
          </rPr>
          <t xml:space="preserve">
Para el mes de Noviembre de 2022, no se han presentado accidentes de trabajo mortales. En lo corrido del año se han presentado 9 accidentes de trabajo leves y 1 AT grave en la seccional Pereira.
</t>
        </r>
      </text>
    </comment>
    <comment ref="P98" authorId="1" shapeId="0">
      <text>
        <r>
          <rPr>
            <b/>
            <sz val="9"/>
            <color indexed="81"/>
            <rFont val="Tahoma"/>
            <family val="2"/>
          </rPr>
          <t>Gloria A. Sanchez M.:</t>
        </r>
        <r>
          <rPr>
            <sz val="9"/>
            <color indexed="81"/>
            <rFont val="Tahoma"/>
            <family val="2"/>
          </rPr>
          <t xml:space="preserve">
Para el mes de diciembre de 2022, no se han presentado accidentes de trabajo mortales. En lo corrido del año se han presentado 9 accidentes de trabajo leves y 1 AT grave en la seccional Pereira.
</t>
        </r>
      </text>
    </comment>
    <comment ref="E100" authorId="1" shapeId="0">
      <text>
        <r>
          <rPr>
            <b/>
            <sz val="9"/>
            <color indexed="81"/>
            <rFont val="Tahoma"/>
            <family val="2"/>
          </rPr>
          <t>Gloria A. Sanchez M.:</t>
        </r>
        <r>
          <rPr>
            <sz val="9"/>
            <color indexed="81"/>
            <rFont val="Tahoma"/>
            <family val="2"/>
          </rPr>
          <t xml:space="preserve">
De un promedio de 1081 trabajadores no se tienen casos nuevos de enfermedad laboral en el periodo 2022.</t>
        </r>
      </text>
    </comment>
    <comment ref="D101" authorId="0" shapeId="0">
      <text>
        <r>
          <rPr>
            <b/>
            <sz val="9"/>
            <color indexed="81"/>
            <rFont val="Tahoma"/>
            <family val="2"/>
          </rPr>
          <t>Gloria Amparo Sanchez:</t>
        </r>
        <r>
          <rPr>
            <sz val="9"/>
            <color indexed="81"/>
            <rFont val="Tahoma"/>
            <family val="2"/>
          </rPr>
          <t xml:space="preserve">
RANGO BUENO:  85% - 96,9%</t>
        </r>
      </text>
    </comment>
    <comment ref="E101" authorId="1" shapeId="0">
      <text>
        <r>
          <rPr>
            <b/>
            <sz val="9"/>
            <color indexed="81"/>
            <rFont val="Tahoma"/>
            <family val="2"/>
          </rPr>
          <t>Gloria A. Sanchez M.:</t>
        </r>
        <r>
          <rPr>
            <sz val="9"/>
            <color indexed="81"/>
            <rFont val="Tahoma"/>
            <family val="2"/>
          </rPr>
          <t xml:space="preserve">
ENERO:Se cumplió la meta del 100% se observa que las 87 solicitudes realizadas por los usuarios todas se tramitaron en el tiempo establecido, está medición se basa en los registros del Formato préstamo de equipos Audiovisuales, las reservas no atendidas en el tiempo es por que el usuario no se presenta.
La disminución en las reservas se debe al periodo de vacaciones, tanto de estudiantes como de administrativos.</t>
        </r>
      </text>
    </comment>
    <comment ref="F101" authorId="1" shapeId="0">
      <text>
        <r>
          <rPr>
            <b/>
            <sz val="9"/>
            <color indexed="81"/>
            <rFont val="Tahoma"/>
            <family val="2"/>
          </rPr>
          <t>Gloria A. Sanchez M.:</t>
        </r>
        <r>
          <rPr>
            <sz val="9"/>
            <color indexed="81"/>
            <rFont val="Tahoma"/>
            <family val="2"/>
          </rPr>
          <t xml:space="preserve">
FEBRERO: Se cumplió la meta del 99,68% se observa que las 317 solicitudes realizadas por los usuarios 316 se tramitaron en el tiempo establecido, donde la que no cumplió se debió a que el usuario no se presentó el día de la reserva. Está medición se basa en los registros del Formato préstamo de equipos Audiovisuales, las reservas no atendidas en el tiempo es por que el usuario no se presenta.
La disminución en las reservas se debe al periodo de vacaciones, tanto de estudiantes como de administrativos.</t>
        </r>
      </text>
    </comment>
    <comment ref="G101" authorId="1" shapeId="0">
      <text>
        <r>
          <rPr>
            <b/>
            <sz val="9"/>
            <color indexed="81"/>
            <rFont val="Tahoma"/>
            <family val="2"/>
          </rPr>
          <t>Gloria A. Sanchez M.:</t>
        </r>
        <r>
          <rPr>
            <sz val="9"/>
            <color indexed="81"/>
            <rFont val="Tahoma"/>
            <family val="2"/>
          </rPr>
          <t xml:space="preserve">
MARZO:Se cumplió la meta del 97% se observa que las 371 solicitudes realizadas por los usuarios 367 se tramitaron en el tiempo establecido, está medición se basa en los registros del Formato préstamo de equipos Audiovisuales, las reservas no atendidas en el tiempo es por que el usuario no se presenta.
La disminución en las reservas se debe al periodo de vacaciones, tanto de estudiantes como de administrativos.</t>
        </r>
      </text>
    </comment>
    <comment ref="H101" authorId="1" shapeId="0">
      <text>
        <r>
          <rPr>
            <b/>
            <sz val="9"/>
            <color indexed="81"/>
            <rFont val="Tahoma"/>
            <family val="2"/>
          </rPr>
          <t>Gloria A. Sanchez M.:</t>
        </r>
        <r>
          <rPr>
            <sz val="9"/>
            <color indexed="81"/>
            <rFont val="Tahoma"/>
            <family val="2"/>
          </rPr>
          <t xml:space="preserve">
ABRIL:Se cumplió la meta del 97% se observa que las 510 solicitudes realizadas por los usuarios 509 se tramitaron en el tiempo establecido, está medición se basa en los registros del Formato préstamo de equipos Audiovisuales y prestamo de elementos de audiovisuales, las reservas no atendidas en el tiempo es por que el usuario no se presenta.</t>
        </r>
      </text>
    </comment>
    <comment ref="I101" authorId="1" shapeId="0">
      <text>
        <r>
          <rPr>
            <b/>
            <sz val="9"/>
            <color indexed="81"/>
            <rFont val="Tahoma"/>
            <family val="2"/>
          </rPr>
          <t>Gloria A. Sanchez M.:</t>
        </r>
        <r>
          <rPr>
            <sz val="9"/>
            <color indexed="81"/>
            <rFont val="Tahoma"/>
            <family val="2"/>
          </rPr>
          <t xml:space="preserve">
MAYO:Se cumplió la meta del 97% se observa que las 260 solicitudes realizadas por los usuarios259 se tramitaron en el tiempo establecido, está medición se basa en los registros del Formato préstamo de equipos Audiovisuales y prestamo de elementos de audiovisuales, las reservas no atendidas en el tiempo es por que el usuario no se presenta.</t>
        </r>
      </text>
    </comment>
    <comment ref="J101" authorId="1" shapeId="0">
      <text>
        <r>
          <rPr>
            <b/>
            <sz val="9"/>
            <color indexed="81"/>
            <rFont val="Tahoma"/>
            <family val="2"/>
          </rPr>
          <t>Gloria A. Sanchez M.:</t>
        </r>
        <r>
          <rPr>
            <sz val="9"/>
            <color indexed="81"/>
            <rFont val="Tahoma"/>
            <family val="2"/>
          </rPr>
          <t xml:space="preserve">
JUNIO: Se superó la meta estándar nacional del 97%, obteniéndose en la seccional el resultado del 97,89%. Se observa que las 95 solicitudes realizadas por los usuarios 93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K101" authorId="1" shapeId="0">
      <text>
        <r>
          <rPr>
            <b/>
            <sz val="9"/>
            <color indexed="81"/>
            <rFont val="Tahoma"/>
            <family val="2"/>
          </rPr>
          <t>Gloria A. Sanchez M.:</t>
        </r>
        <r>
          <rPr>
            <sz val="9"/>
            <color indexed="81"/>
            <rFont val="Tahoma"/>
            <family val="2"/>
          </rPr>
          <t xml:space="preserve">
JULIO: Se superó la meta estándar nacional del 97%, obteniéndose en la seccional el resultado del 98,73%. Se observa que las 157 solicitudes realizadas por los usuarios155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L101" authorId="1" shapeId="0">
      <text>
        <r>
          <rPr>
            <b/>
            <sz val="9"/>
            <color indexed="81"/>
            <rFont val="Tahoma"/>
            <family val="2"/>
          </rPr>
          <t>Gloria A. Sanchez M.:</t>
        </r>
        <r>
          <rPr>
            <sz val="9"/>
            <color indexed="81"/>
            <rFont val="Tahoma"/>
            <family val="2"/>
          </rPr>
          <t xml:space="preserve">
AGOSTO: Se superó la meta estándar nacional del 97%, obteniéndose en la seccional el resultado del 98,80%. Se observa que las 415 solicitudes realizadas por los usuarios 410 se tramitaron en el tiempo establecido, la fuente de medición para este indicador son los registros del Formato préstamo de equipos Audiovisuales y préstamo de elementos de audiovisuales, las reservas no atendidas en el tiempo es porque el usuario no se presenta.
</t>
        </r>
      </text>
    </comment>
    <comment ref="M101" authorId="1" shapeId="0">
      <text>
        <r>
          <rPr>
            <b/>
            <sz val="9"/>
            <color indexed="81"/>
            <rFont val="Tahoma"/>
            <family val="2"/>
          </rPr>
          <t>Gloria A. Sanchez M.:</t>
        </r>
        <r>
          <rPr>
            <sz val="9"/>
            <color indexed="81"/>
            <rFont val="Tahoma"/>
            <family val="2"/>
          </rPr>
          <t xml:space="preserve">
SEPTIEMBRE: Se superó la meta estándar nacional del 97%, obteniéndose en la seccional el resultado del 98,59%. Se observa que las 426 solicitudes realizadas por los usuarios 420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N101" authorId="1" shapeId="0">
      <text>
        <r>
          <rPr>
            <b/>
            <sz val="9"/>
            <color indexed="81"/>
            <rFont val="Tahoma"/>
            <family val="2"/>
          </rPr>
          <t>Gloria A. Sanchez M.:</t>
        </r>
        <r>
          <rPr>
            <sz val="9"/>
            <color indexed="81"/>
            <rFont val="Tahoma"/>
            <family val="2"/>
          </rPr>
          <t xml:space="preserve">
OCTUBRE: Se superó la meta estándar nacional del 97%, obteniéndose en la seccional el resultado del 99,43%. Se observa que las 353 solicitudes realizadas por los usuarios 351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O101" authorId="1" shapeId="0">
      <text>
        <r>
          <rPr>
            <b/>
            <sz val="9"/>
            <color indexed="81"/>
            <rFont val="Tahoma"/>
            <family val="2"/>
          </rPr>
          <t>Gloria A. Sanchez M.:</t>
        </r>
        <r>
          <rPr>
            <sz val="9"/>
            <color indexed="81"/>
            <rFont val="Tahoma"/>
            <family val="2"/>
          </rPr>
          <t xml:space="preserve">
NOVIEMBRE: Se superó la meta estándar nacional del 97%, obteniéndose en la seccional el resultado del 97,76%. Se observa que las 223 solicitudes realizadas por los usuarios 218 se tramitaron en el tiempo establecido, la fuente de medición para este indicador son los registros del Formato préstamo de equipos Audiovisuales y préstamo de elementos de audiovisuales, las reservas no atendidas en el tiempo es porque el usuario no se presenta.</t>
        </r>
      </text>
    </comment>
    <comment ref="P101" authorId="1" shapeId="0">
      <text>
        <r>
          <rPr>
            <b/>
            <sz val="9"/>
            <color indexed="81"/>
            <rFont val="Tahoma"/>
            <family val="2"/>
          </rPr>
          <t>Gloria A. Sanchez M.:</t>
        </r>
        <r>
          <rPr>
            <sz val="9"/>
            <color indexed="81"/>
            <rFont val="Tahoma"/>
            <family val="2"/>
          </rPr>
          <t xml:space="preserve">
DICIEMBRE: Se superó la meta estándar nacional del 97%, obteniéndose en la seccional el resultado del 97,22%. Se observa que las 36 solicitudes realizadas por los usuarios 35 se tramitaron en el tiempo establecido, la fuente de medición para este indicador son los registros del Formato préstamo de equipos Audiovisuales y préstamo de elementos de audiovisuales, las reservas no atendidas en el tiempo es porque el usuario no se presenta. Tener en cuenta que las solicitudes disminuyeron por que es época de Vacaciones</t>
        </r>
      </text>
    </comment>
    <comment ref="D103" authorId="0" shapeId="0">
      <text>
        <r>
          <rPr>
            <b/>
            <sz val="9"/>
            <color indexed="81"/>
            <rFont val="Tahoma"/>
            <family val="2"/>
          </rPr>
          <t>Gloria Amparo Sanchez:</t>
        </r>
        <r>
          <rPr>
            <sz val="9"/>
            <color indexed="81"/>
            <rFont val="Tahoma"/>
            <family val="2"/>
          </rPr>
          <t xml:space="preserve">
RANGO BUENO:  85% - 96,9%</t>
        </r>
      </text>
    </comment>
    <comment ref="E103" authorId="1" shapeId="0">
      <text>
        <r>
          <rPr>
            <b/>
            <sz val="9"/>
            <color indexed="81"/>
            <rFont val="Tahoma"/>
            <family val="2"/>
          </rPr>
          <t>Gloria A. Sanchez M.:</t>
        </r>
        <r>
          <rPr>
            <sz val="9"/>
            <color indexed="81"/>
            <rFont val="Tahoma"/>
            <family val="2"/>
          </rPr>
          <t xml:space="preserve">
ENERO:Se cumplió la meta del 97% se observa que de los 86 requerimientos enviados por los trabajadores a través del el software Helppeople, casos reportados y tambien con solicitudes enviadas al correo,86 se atendieron en el tiempo establecido, está medición se basa en informe del aplicativo Helppeople.Aclarando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F103" authorId="1" shapeId="0">
      <text>
        <r>
          <rPr>
            <b/>
            <sz val="9"/>
            <color indexed="81"/>
            <rFont val="Tahoma"/>
            <family val="2"/>
          </rPr>
          <t>Gloria A. Sanchez M.:</t>
        </r>
        <r>
          <rPr>
            <sz val="9"/>
            <color indexed="81"/>
            <rFont val="Tahoma"/>
            <family val="2"/>
          </rPr>
          <t xml:space="preserve">
FEBRERO:Se cumplió la meta del 97% se observa que de los 134 requerimientos enviados por los trabajadores a través del el software Helppeople, casos reportados y tambien con solicitudes enviadas al correo,134 se atendieron en el tiempo establecido, está medición se basa en informe del aplicativo Helppeople.Aclarando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G103" authorId="1" shapeId="0">
      <text>
        <r>
          <rPr>
            <b/>
            <sz val="9"/>
            <color indexed="81"/>
            <rFont val="Tahoma"/>
            <family val="2"/>
          </rPr>
          <t>Gloria A. Sanchez M.:</t>
        </r>
        <r>
          <rPr>
            <sz val="9"/>
            <color indexed="81"/>
            <rFont val="Tahoma"/>
            <family val="2"/>
          </rPr>
          <t xml:space="preserve">
MARZO:Se cumplió la meta del 97% se observa que de los 132 requerimientos enviados por los trabajadores a través del el software Helppeople, casos reportados y tambien con solicitudes enviadas al correo,131 se atendieron en el tiempo establecido, está medición se basa en informe del aplicativo Helppeople,la nueva mesa de ayuda,casos aplicativos.Aclarando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H103" authorId="1" shapeId="0">
      <text>
        <r>
          <rPr>
            <b/>
            <sz val="9"/>
            <color indexed="81"/>
            <rFont val="Tahoma"/>
            <family val="2"/>
          </rPr>
          <t>Gloria A. Sanchez M.:</t>
        </r>
        <r>
          <rPr>
            <sz val="9"/>
            <color indexed="81"/>
            <rFont val="Tahoma"/>
            <family val="2"/>
          </rPr>
          <t xml:space="preserve">
ABRIL:Se cumplió la meta del 97% se observa que de los 162 requerimientos enviados por los trabajadores a través del el software Mesa de Ayuda, casos reportados y tambien con solicitudes enviadas al correo,162 se atendieron en el tiempo establecido, está medición se basa en informe del aplicativo Mesa de ayuda,casos aplicativos, solicitudes enviadas al correo.Aclarando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I103" authorId="1" shapeId="0">
      <text>
        <r>
          <rPr>
            <b/>
            <sz val="9"/>
            <color indexed="81"/>
            <rFont val="Tahoma"/>
            <family val="2"/>
          </rPr>
          <t>Gloria A. Sanchez M.:</t>
        </r>
        <r>
          <rPr>
            <sz val="9"/>
            <color indexed="81"/>
            <rFont val="Tahoma"/>
            <family val="2"/>
          </rPr>
          <t xml:space="preserve">
MAYO:Se cumplió la meta del 97% se observa que de los 173 requerimientos enviados por los trabajadores a través del el software Mesa de Ayuda, casos reportados y tambien con solicitudes enviadas al correo,173 se atendieron en el tiempo establecido, está medición se basa en informe del aplicativo Mesa de ayuda,casos aplicativos, solicitudes enviadas al correo.Aclarando que ya se esta prestando servicio presencial . se ha tenido la asesoria y capacitación permanente del equipo de trabajo de sistemas , el soporte es constante tanto en solicitudes de correo por parte de estudiantes, como soporte a los usuarios del área financiera y de gestión humana.</t>
        </r>
      </text>
    </comment>
    <comment ref="J103" authorId="1" shapeId="0">
      <text>
        <r>
          <rPr>
            <b/>
            <sz val="9"/>
            <color indexed="81"/>
            <rFont val="Tahoma"/>
            <family val="2"/>
          </rPr>
          <t>Gloria A. Sanchez M.:</t>
        </r>
        <r>
          <rPr>
            <sz val="9"/>
            <color indexed="81"/>
            <rFont val="Tahoma"/>
            <family val="2"/>
          </rPr>
          <t xml:space="preserve">
JUNIO: Se superó la meta estándar nacional del 97% en la seccional se obtuvo el resultado del 99,15%. Se observa que de los 118 requerimientos enviados por los trabajadores a través del el software Mesa de Ayuda, casos reportados y también con solicitudes enviadas al correo,117 se atendieron en el tiempo establecido, está medición se basa en informe del aplicativo Mesa de ayuda, casos aplicativos, solicitudes enviadas al correo. Aclarando que ya se esta prestando servicio presencial . se ha tenido la asesoría y capacitación permanente del equipo de trabajo de sistemas , el soporte es constante tanto en solicitudes de correo por parte de estudiantes, como soporte a los usuarios del área financiera y de gestión humana.</t>
        </r>
      </text>
    </comment>
    <comment ref="K103" authorId="1" shapeId="0">
      <text>
        <r>
          <rPr>
            <b/>
            <sz val="9"/>
            <color indexed="81"/>
            <rFont val="Tahoma"/>
            <family val="2"/>
          </rPr>
          <t>Gloria A. Sanchez M.:</t>
        </r>
        <r>
          <rPr>
            <sz val="9"/>
            <color indexed="81"/>
            <rFont val="Tahoma"/>
            <family val="2"/>
          </rPr>
          <t xml:space="preserve">
JULIO: Se superó la meta estándar nacional del 97% en la seccional se obtuvo el resultado del 100%. Se observa que de los 130 requerimientos enviados por los trabajadores a través del el software Mesa de Ayuda, casos reportados y también con solicitudes enviadas al correo,130 se atendieron en el tiempo establecido, está medición se basa en informe del aplicativo Mesa de ayuda, casos aplicativos, solicitudes enviadas al correo. Aclarando que ya se esta prestando servicio presencial . se ha tenido la asesoría y capacitación permanente del equipo de trabajo de sistemas , el soporte es constante tanto en solicitudes de correo por parte de estudiantes, como soporte a los usuarios del área financiera y de gestión humana.
</t>
        </r>
      </text>
    </comment>
    <comment ref="L103" authorId="1" shapeId="0">
      <text>
        <r>
          <rPr>
            <b/>
            <sz val="9"/>
            <color indexed="81"/>
            <rFont val="Tahoma"/>
            <family val="2"/>
          </rPr>
          <t>Gloria A. Sanchez M.:</t>
        </r>
        <r>
          <rPr>
            <sz val="9"/>
            <color indexed="81"/>
            <rFont val="Tahoma"/>
            <family val="2"/>
          </rPr>
          <t xml:space="preserve">
AGOSTO: Se superó la meta estándar nacional del 97% en la seccional se obtuvo el resultado del 99,46%. Se observa que de los 184 requerimientos enviados por los trabajadores a través del el software Mesa de Ayuda, casos reportados y también con solicitudes enviadas al correo,183 se atendieron en el tiempo establecido, está medición se basa en informe del aplicativo Mesa de ayuda, casos aplicativos, solicitudes enviadas al correo. Aclarando que ya se esta prestando servicio presencial . se ha tenido la asesoría y capacitación permanente del equipo de trabajo de sistemas , el soporte es constante tanto en solicitudes de correo por parte de estudiantes, como soporte a los usuarios del área financiera y de gestión humana.</t>
        </r>
      </text>
    </comment>
    <comment ref="M103" authorId="1" shapeId="0">
      <text>
        <r>
          <rPr>
            <b/>
            <sz val="9"/>
            <color indexed="81"/>
            <rFont val="Tahoma"/>
            <family val="2"/>
          </rPr>
          <t>Gloria A. Sanchez M.:</t>
        </r>
        <r>
          <rPr>
            <sz val="9"/>
            <color indexed="81"/>
            <rFont val="Tahoma"/>
            <family val="2"/>
          </rPr>
          <t xml:space="preserve">
SEPTIEMBRE: se observa que de los 170 requerimientos enviados por los trabajadores a través del el software Mesa de Ayuda, casos reportados y también con solicitudes enviadas al correo,166 se atendieron en el tiempo establecido, está medición se basa en informe del aplicativo Mesa de ayuda, casos aplicativos, solicitudes enviadas al correo. Aclarando que ya se esta prestando servicio presencial . se ha tenido la asesoría y capacitación permanente del equipo de trabajo de sistemas , el soporte es constante tanto en solicitudes de correo por parte de estudiantes, como soporte a los usuarios del área financiera y de gestión humana.</t>
        </r>
      </text>
    </comment>
    <comment ref="N103" authorId="1" shapeId="0">
      <text>
        <r>
          <rPr>
            <b/>
            <sz val="9"/>
            <color indexed="81"/>
            <rFont val="Tahoma"/>
            <family val="2"/>
          </rPr>
          <t>Gloria A. Sanchez M.:</t>
        </r>
        <r>
          <rPr>
            <sz val="9"/>
            <color indexed="81"/>
            <rFont val="Tahoma"/>
            <family val="2"/>
          </rPr>
          <t xml:space="preserve">
OCTUBRE: se observa que de los 128 requerimientos enviados por los trabajadores a través del el software Mesa de Ayuda, casos reportados y también con solicitudes enviadas al correo,125 se atendieron en el tiempo establecido, está medición se basa en informe del aplicativo Mesa de ayuda, casos aplicativos, solicitudes enviadas al correo. se ha tenido la asesoría y capacitación permanente del equipo de trabajo de sistemas , el soporte es constante tanto en solicitudes de correo por parte de estudiantes, como soporte a los usuarios del área financiera y de gestión humana.
</t>
        </r>
      </text>
    </comment>
    <comment ref="O103" authorId="1" shapeId="0">
      <text>
        <r>
          <rPr>
            <b/>
            <sz val="9"/>
            <color indexed="81"/>
            <rFont val="Tahoma"/>
            <family val="2"/>
          </rPr>
          <t>Gloria A. Sanchez M.:</t>
        </r>
        <r>
          <rPr>
            <sz val="9"/>
            <color indexed="81"/>
            <rFont val="Tahoma"/>
            <family val="2"/>
          </rPr>
          <t xml:space="preserve">
NOVIEMBRE: se observa que de los 123 requerimientos enviados por los trabajadores a través del el software Mesa de Ayuda, casos reportados y también con solicitudes enviadas al correo,122 se atendieron en el tiempo establecido, está medición se basa en informe del aplicativo Mesa de ayuda, casos aplicativos, solicitudes enviadas al correo. se ha tenido la asesoría y capacitación permanente del equipo de trabajo de sistemas , el soporte es constante tanto en solicitudes de correo por parte de estudiantes, como soporte a los usuarios del área financiera y de gestión humana.
</t>
        </r>
      </text>
    </comment>
    <comment ref="P103" authorId="1" shapeId="0">
      <text>
        <r>
          <rPr>
            <b/>
            <sz val="9"/>
            <color indexed="81"/>
            <rFont val="Tahoma"/>
            <family val="2"/>
          </rPr>
          <t>Gloria A. Sanchez M.:</t>
        </r>
        <r>
          <rPr>
            <sz val="9"/>
            <color indexed="81"/>
            <rFont val="Tahoma"/>
            <family val="2"/>
          </rPr>
          <t xml:space="preserve">
DICIEMBRE: se observa que de los 54 requerimientos enviados por los trabajadores a través del el software Mesa de Ayuda, casos reportados y también con solicitudes enviadas al correo,53 se atendieron en el tiempo establecido, está medición se basa en informe del aplicativo Mesa de ayuda, casos aplicativos, solicitudes enviadas al correo. se ha tenido la asesoría y capacitación permanente del equipo de trabajo de sistemas , el soporte es constante tanto en solicitudes de correo por parte de estudiantes, como soporte a los usuarios del área financiera y de gestión humana. En el mes de diciembre se laboró hasta el día 16 por esto la disminucion de solicitudes</t>
        </r>
      </text>
    </comment>
    <comment ref="D105" authorId="0" shapeId="0">
      <text>
        <r>
          <rPr>
            <b/>
            <sz val="9"/>
            <color indexed="81"/>
            <rFont val="Tahoma"/>
            <family val="2"/>
          </rPr>
          <t>Gloria Amparo Sanchez:</t>
        </r>
        <r>
          <rPr>
            <sz val="9"/>
            <color indexed="81"/>
            <rFont val="Tahoma"/>
            <family val="2"/>
          </rPr>
          <t xml:space="preserve">
RANGO BUENO:  85% - 96,9%</t>
        </r>
      </text>
    </comment>
    <comment ref="E105" authorId="1" shapeId="0">
      <text>
        <r>
          <rPr>
            <b/>
            <sz val="9"/>
            <color indexed="81"/>
            <rFont val="Tahoma"/>
            <family val="2"/>
          </rPr>
          <t>Gloria A. Sanchez M.:</t>
        </r>
        <r>
          <rPr>
            <sz val="9"/>
            <color indexed="81"/>
            <rFont val="Tahoma"/>
            <family val="2"/>
          </rPr>
          <t xml:space="preserve">
ENERO: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 Es de aclarar que los 22 equipos portátiles que se tenían prestados a los estudiantes fueron devueltos y se dan de baja por obsolecencia tecnológica</t>
        </r>
      </text>
    </comment>
    <comment ref="F105" authorId="1" shapeId="0">
      <text>
        <r>
          <rPr>
            <b/>
            <sz val="9"/>
            <color indexed="81"/>
            <rFont val="Tahoma"/>
            <family val="2"/>
          </rPr>
          <t>Gloria A. Sanchez M.:</t>
        </r>
        <r>
          <rPr>
            <sz val="9"/>
            <color indexed="81"/>
            <rFont val="Tahoma"/>
            <family val="2"/>
          </rPr>
          <t xml:space="preserve">
FEBRERO: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t>
        </r>
      </text>
    </comment>
    <comment ref="G105" authorId="1" shapeId="0">
      <text>
        <r>
          <rPr>
            <b/>
            <sz val="9"/>
            <color indexed="81"/>
            <rFont val="Tahoma"/>
            <family val="2"/>
          </rPr>
          <t>Gloria A. Sanchez M.:</t>
        </r>
        <r>
          <rPr>
            <sz val="9"/>
            <color indexed="81"/>
            <rFont val="Tahoma"/>
            <family val="2"/>
          </rPr>
          <t xml:space="preserve">
MARZO: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t>
        </r>
      </text>
    </comment>
    <comment ref="H105" authorId="1" shapeId="0">
      <text>
        <r>
          <rPr>
            <b/>
            <sz val="9"/>
            <color indexed="81"/>
            <rFont val="Tahoma"/>
            <family val="2"/>
          </rPr>
          <t>Gloria A. Sanchez M.:</t>
        </r>
        <r>
          <rPr>
            <sz val="9"/>
            <color indexed="81"/>
            <rFont val="Tahoma"/>
            <family val="2"/>
          </rPr>
          <t xml:space="preserve">
ABRIL: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t>
        </r>
      </text>
    </comment>
    <comment ref="I105" authorId="1" shapeId="0">
      <text>
        <r>
          <rPr>
            <b/>
            <sz val="9"/>
            <color indexed="81"/>
            <rFont val="Tahoma"/>
            <family val="2"/>
          </rPr>
          <t>Gloria A. Sanchez M.:</t>
        </r>
        <r>
          <rPr>
            <sz val="9"/>
            <color indexed="81"/>
            <rFont val="Tahoma"/>
            <family val="2"/>
          </rPr>
          <t xml:space="preserve">
MAYO: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está medición se basa en informe de control de equipos de salas y portátiles realizados por el personal de audiovisuales.</t>
        </r>
      </text>
    </comment>
    <comment ref="J105" authorId="1" shapeId="0">
      <text>
        <r>
          <rPr>
            <b/>
            <sz val="9"/>
            <color indexed="81"/>
            <rFont val="Tahoma"/>
            <family val="2"/>
          </rPr>
          <t>Gloria A. Sanchez M.:</t>
        </r>
        <r>
          <rPr>
            <sz val="9"/>
            <color indexed="81"/>
            <rFont val="Tahoma"/>
            <family val="2"/>
          </rPr>
          <t xml:space="preserve">
JUNIO: Se superó la meta nacional del 100% , obteniéndose en la seccional un resultado del 100%. Los 461 equipos de cómputo y portátiles que se tienen al servicio de estudiantes y docentes a todos se les realizó la verificación de que estén funcionando correctamente , y se encuentren en buen estado,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K105" authorId="1" shapeId="0">
      <text>
        <r>
          <rPr>
            <b/>
            <sz val="9"/>
            <color indexed="81"/>
            <rFont val="Tahoma"/>
            <family val="2"/>
          </rPr>
          <t>Gloria A. Sanchez M.:</t>
        </r>
        <r>
          <rPr>
            <sz val="9"/>
            <color indexed="81"/>
            <rFont val="Tahoma"/>
            <family val="2"/>
          </rPr>
          <t xml:space="preserve">
JULIO: Se superó la meta nacional del 97% , obteniéndose en la seccional un resultado del 98,70%. Los 461 equipos de cómputo y portátiles que se tienen al servicio de estudiantes y docentes a todos se les realizó la verificación de que estén funcionando correctamente , y se encuentren en buen estado, De estos equipos 6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r>
      </text>
    </comment>
    <comment ref="L105" authorId="1" shapeId="0">
      <text>
        <r>
          <rPr>
            <b/>
            <sz val="9"/>
            <color indexed="81"/>
            <rFont val="Tahoma"/>
            <family val="2"/>
          </rPr>
          <t>Gloria A. Sanchez M.:</t>
        </r>
        <r>
          <rPr>
            <sz val="9"/>
            <color indexed="81"/>
            <rFont val="Tahoma"/>
            <family val="2"/>
          </rPr>
          <t xml:space="preserve">
AGOSTO: Se superó la meta nacional del 97% , obteniéndose en la seccional un resultado del 98,92%. Los 461 equipos de cómputo y portátiles que se tienen al servicio de estudiantes y docentes a todos se les realizó la verificación de que estén funcionando correctamente , y se encuentren en buen estado, De estos equipos 5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M105" authorId="1" shapeId="0">
      <text>
        <r>
          <rPr>
            <b/>
            <sz val="9"/>
            <color indexed="81"/>
            <rFont val="Tahoma"/>
            <family val="2"/>
          </rPr>
          <t>Gloria A. Sanchez M.:</t>
        </r>
        <r>
          <rPr>
            <sz val="9"/>
            <color indexed="81"/>
            <rFont val="Tahoma"/>
            <family val="2"/>
          </rPr>
          <t xml:space="preserve">
SEPTIEMBRE: Se superó la meta nacional del 97% , obteniéndose en la seccional un resultado del 98,70%. Los 461 equipos de cómputo y portátiles que se tienen al servicio de estudiantes y docentes a todos se les realizó la verificación de que estén funcionando correctamente , y se encuentren en buen estado, De estos equipos 6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N105" authorId="1" shapeId="0">
      <text>
        <r>
          <rPr>
            <b/>
            <sz val="9"/>
            <color indexed="81"/>
            <rFont val="Tahoma"/>
            <family val="2"/>
          </rPr>
          <t>Gloria A. Sanchez M.:</t>
        </r>
        <r>
          <rPr>
            <sz val="9"/>
            <color indexed="81"/>
            <rFont val="Tahoma"/>
            <family val="2"/>
          </rPr>
          <t xml:space="preserve">
OCTUBRE: Se superó la meta nacional del 97% , obteniéndose en la seccional un resultado del 98,48%. Los 461 equipos de cómputo y portátiles que se tienen al servicio de estudiantes y docentes a todos se les realizó la verificación de que estén funcionando correctamente , y se encuentren en buen estado, De estos equipos 7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O105" authorId="1" shapeId="0">
      <text>
        <r>
          <rPr>
            <b/>
            <sz val="9"/>
            <color indexed="81"/>
            <rFont val="Tahoma"/>
            <family val="2"/>
          </rPr>
          <t>Gloria A. Sanchez M.:</t>
        </r>
        <r>
          <rPr>
            <sz val="9"/>
            <color indexed="81"/>
            <rFont val="Tahoma"/>
            <family val="2"/>
          </rPr>
          <t xml:space="preserve">
NOVIEMBRE: Se superó la meta nacional del 97% , obteniéndose en la seccional un resultado del 98,92%. Los 461 equipos de cómputo y portátiles que se tienen al servicio de estudiantes y docentes a todos se les realizó la verificación de que estén funcionando correctamente , y se encuentren en buen estado, De estos equipos5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r>
      </text>
    </comment>
    <comment ref="P105" authorId="1" shapeId="0">
      <text>
        <r>
          <rPr>
            <b/>
            <sz val="9"/>
            <color indexed="81"/>
            <rFont val="Tahoma"/>
            <family val="2"/>
          </rPr>
          <t>Gloria A. Sanchez M.:</t>
        </r>
        <r>
          <rPr>
            <sz val="9"/>
            <color indexed="81"/>
            <rFont val="Tahoma"/>
            <family val="2"/>
          </rPr>
          <t xml:space="preserve">
DICIEMBRE: Se superó la meta nacional del 97% , obteniéndose en la seccional un resultado del 98,48%. Los 461 equipos de cómputo y portátiles que se tienen al servicio de estudiantes y docentes a todos se les realizó la verificación de que estén funcionando correctamente , y se encuentren en buen estado, De estos equipos 7 presentaron falla, está medición . La fuente para la medición de este indicador se basa en el informe de control de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D107" authorId="0" shapeId="0">
      <text>
        <r>
          <rPr>
            <b/>
            <sz val="9"/>
            <color indexed="81"/>
            <rFont val="Tahoma"/>
            <family val="2"/>
          </rPr>
          <t>Gloria Amparo Sanchez:</t>
        </r>
        <r>
          <rPr>
            <sz val="9"/>
            <color indexed="81"/>
            <rFont val="Tahoma"/>
            <family val="2"/>
          </rPr>
          <t xml:space="preserve">
RANGO BUENO:  85% - 96,9%</t>
        </r>
      </text>
    </comment>
    <comment ref="E107" authorId="1" shapeId="0">
      <text>
        <r>
          <rPr>
            <b/>
            <sz val="9"/>
            <color indexed="81"/>
            <rFont val="Tahoma"/>
            <family val="2"/>
          </rPr>
          <t>Gloria A. Sanchez M.:</t>
        </r>
        <r>
          <rPr>
            <sz val="9"/>
            <color indexed="81"/>
            <rFont val="Tahoma"/>
            <family val="2"/>
          </rPr>
          <t xml:space="preserve">
ENERO: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
los equipos que se tenían prestados a estudiantes 22 portátiles , se devolvieron pero ya están para bajas por la obsolescencia tecnológica</t>
        </r>
      </text>
    </comment>
    <comment ref="F107" authorId="1" shapeId="0">
      <text>
        <r>
          <rPr>
            <b/>
            <sz val="9"/>
            <color indexed="81"/>
            <rFont val="Tahoma"/>
            <family val="2"/>
          </rPr>
          <t>Gloria A. Sanchez M.:</t>
        </r>
        <r>
          <rPr>
            <sz val="9"/>
            <color indexed="81"/>
            <rFont val="Tahoma"/>
            <family val="2"/>
          </rPr>
          <t xml:space="preserve">
FEBRERO: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
</t>
        </r>
      </text>
    </comment>
    <comment ref="G107" authorId="1" shapeId="0">
      <text>
        <r>
          <rPr>
            <b/>
            <sz val="9"/>
            <color indexed="81"/>
            <rFont val="Tahoma"/>
            <family val="2"/>
          </rPr>
          <t>Gloria A. Sanchez M.:</t>
        </r>
        <r>
          <rPr>
            <sz val="9"/>
            <color indexed="81"/>
            <rFont val="Tahoma"/>
            <family val="2"/>
          </rPr>
          <t xml:space="preserve">
MARZO: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t>
        </r>
      </text>
    </comment>
    <comment ref="H107" authorId="1" shapeId="0">
      <text>
        <r>
          <rPr>
            <b/>
            <sz val="9"/>
            <color indexed="81"/>
            <rFont val="Tahoma"/>
            <family val="2"/>
          </rPr>
          <t>Gloria A. Sanchez M.:</t>
        </r>
        <r>
          <rPr>
            <sz val="9"/>
            <color indexed="81"/>
            <rFont val="Tahoma"/>
            <family val="2"/>
          </rPr>
          <t xml:space="preserve">
ABRIL: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t>
        </r>
      </text>
    </comment>
    <comment ref="I107" authorId="1" shapeId="0">
      <text>
        <r>
          <rPr>
            <b/>
            <sz val="9"/>
            <color indexed="81"/>
            <rFont val="Tahoma"/>
            <family val="2"/>
          </rPr>
          <t>Gloria A. Sanchez M.:</t>
        </r>
        <r>
          <rPr>
            <sz val="9"/>
            <color indexed="81"/>
            <rFont val="Tahoma"/>
            <family val="2"/>
          </rPr>
          <t xml:space="preserve">
MAYO: Se cumplió la meta del 100% de los 461 equipos de cómputo y portátiles que se tienen al servicio de estudiantes y docentes (Sede Centro: 129 equipos de cómputo, Sede Belmonte: 332 equipos de cómputo, de los cuales Posgrados: 8 equipos de cómputo, Consultorio Jurídico: 53 equipos de cómputo para un total de equipos de cómputo de 461), a todos se les realizó la verificación de que estén funcionando correctamente , y se encuentren en buen estado, la fuente para hacer la medición es la herramienta de incidentes de equipos de salas y portátiles realizados por el personal de audiovisuales.</t>
        </r>
      </text>
    </comment>
    <comment ref="J107" authorId="1" shapeId="0">
      <text>
        <r>
          <rPr>
            <b/>
            <sz val="9"/>
            <color indexed="81"/>
            <rFont val="Tahoma"/>
            <family val="2"/>
          </rPr>
          <t>Gloria A. Sanchez M.:</t>
        </r>
        <r>
          <rPr>
            <sz val="9"/>
            <color indexed="81"/>
            <rFont val="Tahoma"/>
            <family val="2"/>
          </rPr>
          <t xml:space="preserve">
JUNIO: Se superó la meta estándar nacional del 100%. Los 461 equipos de cómputo y portátiles que se tienen al servicio de estudiantes y docentes a todos se les realizó la verificación de que estén funcionando correctamente , y se encuentren en buen estado,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K107" authorId="1" shapeId="0">
      <text>
        <r>
          <rPr>
            <b/>
            <sz val="9"/>
            <color indexed="81"/>
            <rFont val="Tahoma"/>
            <family val="2"/>
          </rPr>
          <t>Gloria A. Sanchez M.:</t>
        </r>
        <r>
          <rPr>
            <sz val="9"/>
            <color indexed="81"/>
            <rFont val="Tahoma"/>
            <family val="2"/>
          </rPr>
          <t xml:space="preserve">
JULIO: Se superó la meta estándar nacional del 97%. Los 461 equipos de cómputo y portátiles que se tienen al servicio de estudiantes y docentes a todos se les realizó la verificación de que estén funcionando correctamente , y se encuentren en buen estado, Con 6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L107" authorId="1" shapeId="0">
      <text>
        <r>
          <rPr>
            <b/>
            <sz val="9"/>
            <color indexed="81"/>
            <rFont val="Tahoma"/>
            <family val="2"/>
          </rPr>
          <t>Gloria A. Sanchez M.:</t>
        </r>
        <r>
          <rPr>
            <sz val="9"/>
            <color indexed="81"/>
            <rFont val="Tahoma"/>
            <family val="2"/>
          </rPr>
          <t xml:space="preserve">
AGOSTO: Se superó la meta estándar nacional del 97%. Los 461 equipos de cómputo y portátiles que se tienen al servicio de estudiantes y docentes a todos se les realizó la verificación de que estén funcionando correctamente , y se encuentren en buen estado, Con 5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
</t>
        </r>
      </text>
    </comment>
    <comment ref="M107" authorId="1" shapeId="0">
      <text>
        <r>
          <rPr>
            <b/>
            <sz val="9"/>
            <color indexed="81"/>
            <rFont val="Tahoma"/>
            <family val="2"/>
          </rPr>
          <t>Gloria A. Sanchez M.:</t>
        </r>
        <r>
          <rPr>
            <sz val="9"/>
            <color indexed="81"/>
            <rFont val="Tahoma"/>
            <family val="2"/>
          </rPr>
          <t xml:space="preserve">
SEPTIEMBRE: Se superó la meta estándar nacional del 97%. Los 461 equipos de cómputo y portátiles que se tienen al servicio de estudiantes y docentes a todos se les realizó la verificación de que estén funcionando correctamente , y se encuentren en buen estado, Con 7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N107" authorId="1" shapeId="0">
      <text>
        <r>
          <rPr>
            <b/>
            <sz val="9"/>
            <color indexed="81"/>
            <rFont val="Tahoma"/>
            <family val="2"/>
          </rPr>
          <t>Gloria A. Sanchez M.:</t>
        </r>
        <r>
          <rPr>
            <sz val="9"/>
            <color indexed="81"/>
            <rFont val="Tahoma"/>
            <family val="2"/>
          </rPr>
          <t xml:space="preserve">
OCTUBRE: Se superó la meta estándar nacional del 97%. Los 461 equipos de cómputo y portátiles que se tienen al servicio de estudiantes y docentes a todos se les realizó la verificación de que estén funcionando correctamente , y se encuentren en buen estado, Con 9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O107" authorId="1" shapeId="0">
      <text>
        <r>
          <rPr>
            <b/>
            <sz val="9"/>
            <color indexed="81"/>
            <rFont val="Tahoma"/>
            <family val="2"/>
          </rPr>
          <t>Gloria A. Sanchez M.:</t>
        </r>
        <r>
          <rPr>
            <sz val="9"/>
            <color indexed="81"/>
            <rFont val="Tahoma"/>
            <family val="2"/>
          </rPr>
          <t xml:space="preserve">
NOVIEMBRE: Se superó la meta estándar nacional del 97%. Los 461 equipos de cómputo y portátiles que se tienen al servicio de estudiantes y docentes a todos se les realizó la verificación de que estén funcionando correctamente , y se encuentren en buen estado, Con 9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P107" authorId="1" shapeId="0">
      <text>
        <r>
          <rPr>
            <b/>
            <sz val="9"/>
            <color indexed="81"/>
            <rFont val="Tahoma"/>
            <family val="2"/>
          </rPr>
          <t>Gloria A. Sanchez M.:</t>
        </r>
        <r>
          <rPr>
            <sz val="9"/>
            <color indexed="81"/>
            <rFont val="Tahoma"/>
            <family val="2"/>
          </rPr>
          <t xml:space="preserve">
DICIEMBRE: Se superó la meta estándar nacional del 97%. Los 461 equipos de cómputo y portátiles que se tienen al servicio de estudiantes y docentes a todos se les realizó la verificación de que estén funcionando correctamente , y se encuentren en buen estado, Con 5 equipos se presentaron incidentes, la fuente para hacer la medición es la herramienta de incidentes de los equipos de salas y portátiles realizados por el personal de audiovisuales.(Sede Centro: 129 equipos de cómputo, Sede Belmonte: 332 equipos de cómputo, de los cuales Posgrados: 8 equipos de cómputo, Consultorio Jurídico: 53 equipos de cómputo para un total de equipos de cómputo de 461)</t>
        </r>
      </text>
    </comment>
    <comment ref="E113" authorId="1" shapeId="0">
      <text>
        <r>
          <rPr>
            <b/>
            <sz val="9"/>
            <color indexed="81"/>
            <rFont val="Tahoma"/>
            <family val="2"/>
          </rPr>
          <t>Gloria A. Sanchez M.:</t>
        </r>
        <r>
          <rPr>
            <sz val="9"/>
            <color indexed="81"/>
            <rFont val="Tahoma"/>
            <family val="2"/>
          </rPr>
          <t xml:space="preserve">
SEM 1. No se cumple con la meta nacional del 100%, en la seccional, si se cumple con el rango bueno.  Se obtuvo un resultado del 96,84%. De 316 solicitudes se atendieron oportunamente 306. Los 10 restantes obedecen a solicitudes que requerían la compra de insumos o elementos para atender y no se cumplió los tiempos establecidos. Otras de las actividades se desarrollaron posterior por condiciones como el clima, o depender de terceros para ejecutar la tarea. Estas labores que exigen más tiempo del establecido en los acuerdos de servicios. Como oportunidad de mejora se hará solicitud de cambio del acuerdo de servicio, ya que es imposible llegar al 100% en temas de mantenimiento</t>
        </r>
      </text>
    </comment>
    <comment ref="K113" authorId="1" shapeId="0">
      <text>
        <r>
          <rPr>
            <b/>
            <sz val="9"/>
            <color indexed="81"/>
            <rFont val="Tahoma"/>
            <family val="2"/>
          </rPr>
          <t>Gloria A. Sanchez M.:</t>
        </r>
        <r>
          <rPr>
            <sz val="9"/>
            <color indexed="81"/>
            <rFont val="Tahoma"/>
            <family val="2"/>
          </rPr>
          <t xml:space="preserve">
SEM 2. Se obtuvo un resultado del 98,7%. De 305 solicitudes se atendieron oportunamente 301. Los 4restantes obedecen a solicitudes que requerían la compra de insumos o elementos para atender y no se cumplió los tiempos establecidos. Otras de las actividades se desarrollaron posterior por condiciones como el clima, o depender de terceros para ejecutar la tarea. Estas labores que exigen más tiempo del establecido en los acuerdos de servicios. Como oportunidad de mejora se hará solicitud de cambio del acuerdo de servicio, ya que es imposible llegar al 100% en temas de mantenimiento</t>
        </r>
      </text>
    </comment>
    <comment ref="E114" authorId="1" shapeId="0">
      <text>
        <r>
          <rPr>
            <b/>
            <sz val="9"/>
            <color indexed="81"/>
            <rFont val="Tahoma"/>
            <family val="2"/>
          </rPr>
          <t>Gloria A. Sanchez M.:</t>
        </r>
        <r>
          <rPr>
            <sz val="9"/>
            <color indexed="81"/>
            <rFont val="Tahoma"/>
            <family val="2"/>
          </rPr>
          <t xml:space="preserve">
AÑO 2022: No se cumple la meta del 90%, se cumple con el rango bueno, obteniéndose un resultado en la seccional del 82,35%. De las 17 actividades planeadas, no se ejecutaron 3 por temas de ejecución de recursos (austeridad en el gasto). Entre los que tenemos: la actualización del POC de la seccional, reposición de aires acondicionados en salones sede centro. Entre las actividades se tenía mantenimiento de vehículos los cuales no se realizó se hicieron las requisiciones pera la Universidad no los contrato. Como oportunidad de mejora dos actividades se reprogramaron para la vigencia 2023.</t>
        </r>
      </text>
    </comment>
    <comment ref="E115" authorId="1" shapeId="0">
      <text>
        <r>
          <rPr>
            <b/>
            <sz val="9"/>
            <color indexed="81"/>
            <rFont val="Tahoma"/>
            <family val="2"/>
          </rPr>
          <t>Gloria A. Sanchez M.:</t>
        </r>
        <r>
          <rPr>
            <sz val="9"/>
            <color indexed="81"/>
            <rFont val="Tahoma"/>
            <family val="2"/>
          </rPr>
          <t xml:space="preserve">
SEM 1. se cumple la meta, de los 310 servicios, todos fueron calificados entre 4 y 5 bueno - excelente.</t>
        </r>
      </text>
    </comment>
    <comment ref="K115" authorId="1" shapeId="0">
      <text>
        <r>
          <rPr>
            <b/>
            <sz val="9"/>
            <color indexed="81"/>
            <rFont val="Tahoma"/>
            <family val="2"/>
          </rPr>
          <t>Gloria A. Sanchez M.:</t>
        </r>
        <r>
          <rPr>
            <sz val="9"/>
            <color indexed="81"/>
            <rFont val="Tahoma"/>
            <family val="2"/>
          </rPr>
          <t xml:space="preserve">
SEM 2. Se cumplió la meta nacional del 90%, obteníéndose en la seccional el 100% de satisfacción, de los 305 servicios, todos fueron calificados entre 4 y 5 bueno - excelente.</t>
        </r>
      </text>
    </comment>
    <comment ref="D116" authorId="0" shapeId="0">
      <text>
        <r>
          <rPr>
            <b/>
            <sz val="9"/>
            <color indexed="81"/>
            <rFont val="Tahoma"/>
            <family val="2"/>
          </rPr>
          <t>Gloria Amparo Sanchez:</t>
        </r>
        <r>
          <rPr>
            <sz val="9"/>
            <color indexed="81"/>
            <rFont val="Tahoma"/>
            <family val="2"/>
          </rPr>
          <t xml:space="preserve">
RANGO BUENO: 50%-70%</t>
        </r>
      </text>
    </comment>
    <comment ref="E116" authorId="1" shapeId="0">
      <text>
        <r>
          <rPr>
            <b/>
            <sz val="9"/>
            <color indexed="81"/>
            <rFont val="Tahoma"/>
            <family val="2"/>
          </rPr>
          <t>Gloria A. Sanchez M.:</t>
        </r>
        <r>
          <rPr>
            <sz val="9"/>
            <color indexed="81"/>
            <rFont val="Tahoma"/>
            <family val="2"/>
          </rPr>
          <t xml:space="preserve">
Durante el segundo semestre del 2022, se cumplió con la meta estándar nacional del 70%, obteniéndose un resultado seccional del 96% de cumplimiento, de un total de 27 oficinas programadas para transferencia documental en el año 2022, se ejecutó el proceso en 26 oficinas. La única oficina que no fue posible el proceso, fue por motivos de una licencia del funcionario, puesto que no se encontraba sino hasta finales del mes de diciembre.
Por otro lado, es importante resaltar, que adicional a las oficinas programadas para las transferencias documentales se recibió documentación de 5 oficinas más, que no se encontraban dentro de la programación inicialmente propuesta. Que por solicitud de las mismas oficinas y disposición para la entrega de la documentación cumpliendo con los términos indicados en los procedimientos de organización de archivos de gestión y de transferencias documentales, solicitaron dicho proceso para evitar acumulación de documentación en las oficinas. Como resultado final, 31 oficinas realizaron el proceso de transferencias documentales en la seccional durante el año 2022, alcanzando de esta manera el 114,8% de cumplimiento.
Para todas las oficinas, se realizó el seguimiento previo a la ejecución de las transferencias documentales y se registró en el informe de novedades y/u observaciones por cada transferencia, los términos que deben mejorar y los ajustes que se deben llevar a cabo para cumplir para las próximas transferencias.
El volumen total del proceso de transferencias fueron los siguientes: 557 cajas de archivo inactivo entre cajas referencia x100 y x300; 3.037 unidades de conservación entre carpetas y tomos. Para un total de 422.719 folios transferidos.
</t>
        </r>
      </text>
    </comment>
    <comment ref="D117" authorId="0" shapeId="0">
      <text>
        <r>
          <rPr>
            <b/>
            <sz val="9"/>
            <color indexed="81"/>
            <rFont val="Tahoma"/>
            <family val="2"/>
          </rPr>
          <t>Gloria Amparo Sanchez:</t>
        </r>
        <r>
          <rPr>
            <sz val="9"/>
            <color indexed="81"/>
            <rFont val="Tahoma"/>
            <family val="2"/>
          </rPr>
          <t xml:space="preserve">
RANGO BUENO: 60%-80%</t>
        </r>
      </text>
    </comment>
    <comment ref="E117" authorId="1" shapeId="0">
      <text>
        <r>
          <rPr>
            <b/>
            <sz val="9"/>
            <color indexed="81"/>
            <rFont val="Tahoma"/>
            <family val="2"/>
          </rPr>
          <t>Gloria A. Sanchez M.:</t>
        </r>
        <r>
          <rPr>
            <sz val="9"/>
            <color indexed="81"/>
            <rFont val="Tahoma"/>
            <family val="2"/>
          </rPr>
          <t xml:space="preserve">
ENERO: Se superó la meta nacional del 80%, se recibió y gestionó 4 expedientes para consulta y préstamo de las oficinas de Administración de Personal y Registro y Control. Las cuales fueron atendidas dentro del tiempo establecido en el acuerdo de servicio.</t>
        </r>
      </text>
    </comment>
    <comment ref="F117" authorId="1" shapeId="0">
      <text>
        <r>
          <rPr>
            <b/>
            <sz val="9"/>
            <color indexed="81"/>
            <rFont val="Tahoma"/>
            <family val="2"/>
          </rPr>
          <t>Gloria A. Sanchez M.:</t>
        </r>
        <r>
          <rPr>
            <sz val="9"/>
            <color indexed="81"/>
            <rFont val="Tahoma"/>
            <family val="2"/>
          </rPr>
          <t xml:space="preserve">
FEBRERO: Se superó la meta nacional del 80%, se recibió y gestionó 5 expedientes para consulta y préstamo de las oficinas de Administración de Personal y Registro y Control. Las cuales fueron atendidas dentro del tiempo establecido en el acuerdo de servicio.
</t>
        </r>
      </text>
    </comment>
    <comment ref="G117" authorId="1" shapeId="0">
      <text>
        <r>
          <rPr>
            <b/>
            <sz val="9"/>
            <color indexed="81"/>
            <rFont val="Tahoma"/>
            <family val="2"/>
          </rPr>
          <t>Gloria A. Sanchez M.:</t>
        </r>
        <r>
          <rPr>
            <sz val="9"/>
            <color indexed="81"/>
            <rFont val="Tahoma"/>
            <family val="2"/>
          </rPr>
          <t xml:space="preserve">
MARZO: Se superó la meta nacional del 80%, se recibió y gestionó 19 expedientes para consulta y préstamo de las oficinas de Administración de Personal, Registro y Control, CEIDEUL y Secretaria Académica Decanatura de Derecho. Las cuales fueron atendidas dentro del tiempo establecido en el acuerdo de servicio.</t>
        </r>
      </text>
    </comment>
    <comment ref="H117" authorId="1" shapeId="0">
      <text>
        <r>
          <rPr>
            <b/>
            <sz val="9"/>
            <color indexed="81"/>
            <rFont val="Tahoma"/>
            <family val="2"/>
          </rPr>
          <t>Gloria A. Sanchez M.:</t>
        </r>
        <r>
          <rPr>
            <sz val="9"/>
            <color indexed="81"/>
            <rFont val="Tahoma"/>
            <family val="2"/>
          </rPr>
          <t xml:space="preserve">
ABRIL: Se superó la meta nacional del 80%, se recibió y gestionó 12 expedientes para consulta y préstamo de las oficinas de Jurídica, Administración de Personal, Registro y Control, CEIDEUL y Secretaria Académica Decanatura de Derecho. Las cuales fueron atendidas dentro del tiempo establecido en el acuerdo de servicio.</t>
        </r>
      </text>
    </comment>
    <comment ref="I117" authorId="1" shapeId="0">
      <text>
        <r>
          <rPr>
            <b/>
            <sz val="9"/>
            <color indexed="81"/>
            <rFont val="Tahoma"/>
            <family val="2"/>
          </rPr>
          <t>Gloria A. Sanchez M.:</t>
        </r>
        <r>
          <rPr>
            <sz val="9"/>
            <color indexed="81"/>
            <rFont val="Tahoma"/>
            <family val="2"/>
          </rPr>
          <t xml:space="preserve">
MAYO: Se superó la meta nacional del 80%, se recibió y gestionó 11 expedientes para consulta y préstamo de las oficinas de Administración de Personal, Registro y Control, y CEIDEUL. Las cuales fueron atendidas dentro del tiempo establecido en el acuerdo de servicio.</t>
        </r>
      </text>
    </comment>
    <comment ref="J117" authorId="1" shapeId="0">
      <text>
        <r>
          <rPr>
            <b/>
            <sz val="9"/>
            <color indexed="81"/>
            <rFont val="Tahoma"/>
            <family val="2"/>
          </rPr>
          <t>Gloria A. Sanchez M.:</t>
        </r>
        <r>
          <rPr>
            <sz val="9"/>
            <color indexed="81"/>
            <rFont val="Tahoma"/>
            <family val="2"/>
          </rPr>
          <t xml:space="preserve">
JUNIO: Se superó la meta nacional del 80%, se recibió y gestionó 17 expedientes para consulta y préstamo de las oficinas de Administración de Personal, Registro y Control, Secretaria Seccional y CEIDEUL. Las cuales fueron atendidas dentro del tiempo establecido en el acuerdo de servicio.</t>
        </r>
      </text>
    </comment>
    <comment ref="K117" authorId="1" shapeId="0">
      <text>
        <r>
          <rPr>
            <b/>
            <sz val="9"/>
            <color indexed="81"/>
            <rFont val="Tahoma"/>
            <family val="2"/>
          </rPr>
          <t>Gloria A. Sanchez M.:</t>
        </r>
        <r>
          <rPr>
            <sz val="9"/>
            <color indexed="81"/>
            <rFont val="Tahoma"/>
            <family val="2"/>
          </rPr>
          <t xml:space="preserve">
JULIO: Se superó la meta nacional del 80%, se recibió y gestionó 15 expedientes para consulta y préstamo de las oficinas de Gestión Humana, Registro y Control, Secretaria Seccional, Censoria, Decanatura de Derecho y Tesorería. Las cuales fueron atendidas dentro del tiempo establecido en el acuerdo de servicio.</t>
        </r>
      </text>
    </comment>
    <comment ref="L117" authorId="1" shapeId="0">
      <text>
        <r>
          <rPr>
            <b/>
            <sz val="9"/>
            <color indexed="81"/>
            <rFont val="Tahoma"/>
            <family val="2"/>
          </rPr>
          <t>Gloria A. Sanchez M.:</t>
        </r>
        <r>
          <rPr>
            <sz val="9"/>
            <color indexed="81"/>
            <rFont val="Tahoma"/>
            <family val="2"/>
          </rPr>
          <t xml:space="preserve">
AGOSTO: Se superó la meta nacional del 80%, se recibió y gestionó 16 expedientes para consulta y préstamo de las oficinas de Gestión Humana, Registro y Control, Secretaria Seccional, SECRETARIA ACADÉMICA - FDCPS y Sindicatura. Las cuales fueron atendidas dentro del tiempo establecido en el acuerdo de servicio.</t>
        </r>
      </text>
    </comment>
    <comment ref="M117" authorId="1" shapeId="0">
      <text>
        <r>
          <rPr>
            <b/>
            <sz val="9"/>
            <color indexed="81"/>
            <rFont val="Tahoma"/>
            <family val="2"/>
          </rPr>
          <t>Gloria A. Sanchez M.:</t>
        </r>
        <r>
          <rPr>
            <sz val="9"/>
            <color indexed="81"/>
            <rFont val="Tahoma"/>
            <family val="2"/>
          </rPr>
          <t xml:space="preserve">
SEPTIEMBRE: Se superó la meta nacional del 80%, se recibió y gestionó 38 expedientes para consulta y préstamo de las oficinas de Gestión Humana, Registro y Control, Secretaria Seccional, Contratos, Jurídica y Seguridad Social. Las cuales fueron atendidas dentro del tiempo establecido en el acuerdo de servicio.</t>
        </r>
      </text>
    </comment>
    <comment ref="N117" authorId="1" shapeId="0">
      <text>
        <r>
          <rPr>
            <b/>
            <sz val="9"/>
            <color indexed="81"/>
            <rFont val="Tahoma"/>
            <family val="2"/>
          </rPr>
          <t>Gloria A. Sanchez M.:</t>
        </r>
        <r>
          <rPr>
            <sz val="9"/>
            <color indexed="81"/>
            <rFont val="Tahoma"/>
            <family val="2"/>
          </rPr>
          <t xml:space="preserve">
OCTUBRE: Se superó la meta nacional del 80%, se recibió y gestionó 15 expedientes para consulta y préstamo de las oficinas de Gestión Humana, Registro y Control, Secretaria Seccional, Contratos, Jurídica y Seguridad Social. Las cuales fueron atendidas dentro del tiempo establecido en el acuerdo de servicio.
</t>
        </r>
      </text>
    </comment>
    <comment ref="O117" authorId="1" shapeId="0">
      <text>
        <r>
          <rPr>
            <b/>
            <sz val="9"/>
            <color indexed="81"/>
            <rFont val="Tahoma"/>
            <family val="2"/>
          </rPr>
          <t>Gloria A. Sanchez M.:</t>
        </r>
        <r>
          <rPr>
            <sz val="9"/>
            <color indexed="81"/>
            <rFont val="Tahoma"/>
            <family val="2"/>
          </rPr>
          <t xml:space="preserve">
NOVIEMBRE: Se superó la meta nacional del 80%, se recibió y gestionó 26 expedientes para consulta y préstamo de las oficinas de Gestión Humana, Registro y Control, Radicación de Títulos, Secretaria Seccional, Contratos, CEIDEUL y Seguridad Social. Las cuales fueron atendidas dentro del tiempo establecido en el acuerdo de servicio.</t>
        </r>
      </text>
    </comment>
    <comment ref="P117" authorId="1" shapeId="0">
      <text>
        <r>
          <rPr>
            <b/>
            <sz val="9"/>
            <color indexed="81"/>
            <rFont val="Tahoma"/>
            <family val="2"/>
          </rPr>
          <t>Gloria A. Sanchez M.:</t>
        </r>
        <r>
          <rPr>
            <sz val="9"/>
            <color indexed="81"/>
            <rFont val="Tahoma"/>
            <family val="2"/>
          </rPr>
          <t xml:space="preserve">
DICIEMBRE: Se superó la meta nacional del 80%, se recibió y gestionó 6 expedientes para consulta y préstamo de las oficinas de Radicación de Títulos, Secretaria Seccional, Jurídica y Tesorería. Las cuales fueron atendidas dentro del tiempo establecido en el acuerdo de servicio.</t>
        </r>
      </text>
    </comment>
    <comment ref="E119" authorId="1" shapeId="0">
      <text>
        <r>
          <rPr>
            <b/>
            <sz val="9"/>
            <color indexed="81"/>
            <rFont val="Tahoma"/>
            <family val="2"/>
          </rPr>
          <t>Gloria A. Sanchez M.:</t>
        </r>
        <r>
          <rPr>
            <sz val="9"/>
            <color indexed="81"/>
            <rFont val="Tahoma"/>
            <family val="2"/>
          </rPr>
          <t xml:space="preserve">
2022-1:  Se cumple la meta del 100%. De un total 329 documentos recibidos, el 100% fueron entregados dentro de los tiempos establecidos en el acuerdo de servicio. 5 de ellos fueron entregados solo en forma digital equivalente al 1,52 % obedeció a que no fue posible la entrega de la documentación de forma física, debido a las siguientes situaciones: La oficina se encontraba cerrada, las secretarias o encargados estaban de permiso o en incapacidad, entre otras.
Es de aclarar, que los 329 documentos recibidos fueron notificados en su totalidad a los destinatarios de la correspondencia de forma digitalizada al correo electrónico el mismo día de la recepción de los documentos, esto con el fin de optimizar y agilizar el trámite en la oficina. Ya que cumplido con el registro y radicación de los documentos, se distribuida con el mensajero interno para su correspondiente entrega.
</t>
        </r>
      </text>
    </comment>
    <comment ref="K119" authorId="1" shapeId="0">
      <text>
        <r>
          <rPr>
            <sz val="9"/>
            <color indexed="81"/>
            <rFont val="Tahoma"/>
            <family val="2"/>
          </rPr>
          <t>Se cumple la meta del 100%. De un total 340 documentos recibidos, el 100% fueron entregados dentro de los tiempos establecidos en el acuerdo de servicio. 4 de ellos fueron entregados solo en forma digital equivalente al 1,18 %, ya que no fue posible la entrega de la documentación de forma física, debido a las siguientes situaciones: La oficina se encontraba cerrada, las secretarias o encargados estaban de permiso o en incapacidad, entre otras.
Es de aclarar, que los 340 documentos recibidos fueron notificados en su totalidad a los destinatarios de la correspondencia de forma digitalizada al correo electrónico institucional el mismo día de la recepción de los documentos, esto con el fin de optimizar y agilizar el trámite en la oficina. Ya que cumplido con el registro y radicación de los documentos, se distribuida con el mensajero interno para su correspondiente entrega.</t>
        </r>
      </text>
    </comment>
    <comment ref="D120" authorId="0" shapeId="0">
      <text>
        <r>
          <rPr>
            <b/>
            <sz val="9"/>
            <color indexed="81"/>
            <rFont val="Tahoma"/>
            <family val="2"/>
          </rPr>
          <t>Gloria Amparo Sanchez:</t>
        </r>
        <r>
          <rPr>
            <sz val="9"/>
            <color indexed="81"/>
            <rFont val="Tahoma"/>
            <family val="2"/>
          </rPr>
          <t xml:space="preserve">
Rango Bueno:70% - 60 %</t>
        </r>
      </text>
    </comment>
    <comment ref="E120" authorId="1" shapeId="0">
      <text>
        <r>
          <rPr>
            <b/>
            <sz val="9"/>
            <color indexed="81"/>
            <rFont val="Tahoma"/>
            <family val="2"/>
          </rPr>
          <t>Gloria A. Sanchez M.:</t>
        </r>
        <r>
          <rPr>
            <sz val="9"/>
            <color indexed="81"/>
            <rFont val="Tahoma"/>
            <family val="2"/>
          </rPr>
          <t xml:space="preserve">
Facultad de Ciencias de la Salud, Exactas y Naturales: Se supera la meta estándar nacional , ya que en la Facultad se obtuvo un resultado del 83,67%. De los 49 docentes adscritos a la facultad, 41 cuentan con maestría o doctorado.
Es importante señalar que en los programas de enfermería y Microbiología, el 100% de los docentes del componente profesional cuentan con formación avanzada. En cuanto a Nutrición y Dietética por tratarse de un programa joven, el porcentaje de docentes del componente profesional es del 57%, situación que se irá subsanando en la medida en que terminen sus estudios de posgrado.
Distribución del nivel de formación por centro de costos:
Nutrición y Dietética: 3 doctores y 7 magísteres
Enfermería: 3 doctores y 15 magísteres
Microbiología: 4 doctores y 9 magísteres
Vale la pena aclarar que el número de docentes registrados por centro de costos difiere del número real de docentes que dictan asignaturas en la Facultad (Docentes: 52 - con títulos de: Doctor: 11 y Magíster: 32)
Por programas la situación es así:
Nutrición y Dietética: 5 doctores y 11 magísteres
Enfermería: 6 doctores y 16 magísteres
Microbiología: 8 doctores y 14 magísteres
En la Facultad en proceso de formación doctoral, se cuenta con 6 docentes con formación doctoral</t>
        </r>
      </text>
    </comment>
    <comment ref="K120" authorId="1" shapeId="0">
      <text>
        <r>
          <rPr>
            <b/>
            <sz val="9"/>
            <color indexed="81"/>
            <rFont val="Tahoma"/>
            <family val="2"/>
          </rPr>
          <t>Gloria A. Sanchez M.:</t>
        </r>
        <r>
          <rPr>
            <sz val="9"/>
            <color indexed="81"/>
            <rFont val="Tahoma"/>
            <family val="2"/>
          </rPr>
          <t xml:space="preserve">
La facultad cuenta con 54 docentes de los cuales 46, el 85,19% tienen formación avanzada, bien sea en doctorado con el 22,22% como en maestría con el 62,96%.
Por programas tenemos la siguiente composición de los docentes:
ENFERMERÍA: 26 docentes, de los cuales 6, el 23,08 son doctores, 18, el 69,2% magísteres, y los 2 restantes, especialistas.
MICROBIOLOGÍA: 25 docentes, de los cuales 9, el 36% tienen formación doctoral; 14, el 56% maestría, 1, el 4% son especialistas y 1, el 4% restante, pregrado.
NUTRICIÓN Y DIETÉTICA: 24 docentes, de los cuales 6, el 25% son doctores, 12, el 48% tienen formación en Maestría, 4, el 16,67% son especialistas y 2, el 8,33% pregrado.
Como puede observarse, la meta se cumple ampliamente.
Vale la pena anotar que varios docentes realizan actividades de aula en todos los programas de la facultad.</t>
        </r>
      </text>
    </comment>
    <comment ref="E121" authorId="1" shapeId="0">
      <text>
        <r>
          <rPr>
            <b/>
            <sz val="9"/>
            <color indexed="81"/>
            <rFont val="Tahoma"/>
            <family val="2"/>
          </rPr>
          <t>Gloria A. Sanchez M.:</t>
        </r>
        <r>
          <rPr>
            <sz val="9"/>
            <color indexed="81"/>
            <rFont val="Tahoma"/>
            <family val="2"/>
          </rPr>
          <t xml:space="preserve">
La Facultad de Ciencias Económicas, Administrativas y Contables cuenta con 38 docentes por centro de costos, de los cuales 6 tienen doctorado, 24 cuentan con formación en maestría, 7 son especialistas y uno con pregrado, cumpliéndose la meta estandar nacional con un resultado del 78.95, distribuidos por programa así:
Economía: 10 docentes (3 doctores, 6 magister y un especialista).
Contaduría Pública: 16 docentes (14 con maestría y 2 con especialización)
Administración de Empresas: 12 docentes ( 3 doctores, 4 magister, 4 especialistas y un pregrado)</t>
        </r>
      </text>
    </comment>
    <comment ref="K121" authorId="1" shapeId="0">
      <text>
        <r>
          <rPr>
            <b/>
            <sz val="9"/>
            <color indexed="81"/>
            <rFont val="Tahoma"/>
            <family val="2"/>
          </rPr>
          <t>Gloria A. Sanchez M.:</t>
        </r>
        <r>
          <rPr>
            <sz val="9"/>
            <color indexed="81"/>
            <rFont val="Tahoma"/>
            <family val="2"/>
          </rPr>
          <t xml:space="preserve">
La Facultad de Ciencias Económicas, Administrativas y Contables para el segundo semestre de 2022, cuenta con los mismos 38 docentes por centro de costos del primer semestre del año, de los cuales 5 tienen doctorado (Un docente doctor no continúa con la Universidad), 24 cuentan con formación en maestría, 7 son especialistas y uno con pregrado, cumpliéndose la meta estándar nacional con un resultado del 76.32, distribuidos por programa así:
Economía: 10 docentes (3 doctores, 6 magister y un especialista).
Contaduría Pública: 16 docentes (14 con maestría y 2 con especialización)
Administración de Empresas: 12 docentes ( 3 doctores, 4 magister, 4 especialistas y un pregrado)</t>
        </r>
      </text>
    </comment>
    <comment ref="E122" authorId="1" shapeId="0">
      <text>
        <r>
          <rPr>
            <b/>
            <sz val="9"/>
            <color indexed="81"/>
            <rFont val="Tahoma"/>
            <family val="2"/>
          </rPr>
          <t>Gloria A. Sanchez M.:</t>
        </r>
        <r>
          <rPr>
            <sz val="9"/>
            <color indexed="81"/>
            <rFont val="Tahoma"/>
            <family val="2"/>
          </rPr>
          <t xml:space="preserve">
FACULTAD DE DERECHO, CIENCIAS POLÍTICAS Y SOCIALES
En la facultad, se presenta un total de 100 docentes vinculados, se tienen 68 magísteres, 4 Doctores, 27 especialistas y 1 con título de pregrado, obteniéndose un resultado del 72%.
Programa de Trabajo Social
Total de Docentes: 14
Magíster: 14
Programa de Derecho (Semestral y Anualizado)
Pregrado: 1
Especialistas: 27
Megister: 55
Doctores: 4</t>
        </r>
      </text>
    </comment>
    <comment ref="K122" authorId="1" shapeId="0">
      <text>
        <r>
          <rPr>
            <b/>
            <sz val="9"/>
            <color indexed="81"/>
            <rFont val="Tahoma"/>
            <family val="2"/>
          </rPr>
          <t>Gloria A. Sanchez M.:</t>
        </r>
        <r>
          <rPr>
            <sz val="9"/>
            <color indexed="81"/>
            <rFont val="Tahoma"/>
            <family val="2"/>
          </rPr>
          <t xml:space="preserve">
En la facultad, se presenta un total de 100 docentes vinculados, se tienen 67 magísteres, 5 Doctores, 27 especialistas y 1 con título de pregrado, obteniéndose un resultado del 72%.
Programa de Trabajo Social
Total de Docentes: 14
Magíster: 13
Doctora: 1
Programa de Derecho (Semestral y Anualizado)
Pregrado: 1
Especialistas: 27
Megister: 55
Doctores: 4</t>
        </r>
      </text>
    </comment>
    <comment ref="E123" authorId="1" shapeId="0">
      <text>
        <r>
          <rPr>
            <b/>
            <sz val="9"/>
            <color indexed="81"/>
            <rFont val="Tahoma"/>
            <family val="2"/>
          </rPr>
          <t>Gloria A. Sanchez M.:</t>
        </r>
        <r>
          <rPr>
            <sz val="9"/>
            <color indexed="81"/>
            <rFont val="Tahoma"/>
            <family val="2"/>
          </rPr>
          <t xml:space="preserve">
Facultad de Ingenierías: Se tiene la misma información del 2022-1:
Se cumple la meta estándar nacional , en la Facultad de ingenierías se obtuvo un resultado del 78,69%. De un total de 61 docentes adscritos a la Facultad, por centro de costos, se tienen 38 docentes con formación en maestría, equivalente al 62,30%, seguido del nivel de formación de especialización con el 21,3% (13 docentes) y el 16,39% cuenta con nivel de formación de doctorado (10 docentes).
Discriminados por programa así:
Ing. Civil: Total docentes: 41 - 7 con doctorado - 22 con maestría y 12 con especialización.
Ing. Comercial: Total docentes: 10 - 1 con doctorado, 8 con maestría y 1 con especialización.
Ing. Sistemas: Total docentes: 6 - 2 con doctorado - 4 con maestría
Ing. Financiera: Total docentes: 4 - 4 con maestría</t>
        </r>
      </text>
    </comment>
    <comment ref="K123" authorId="1" shapeId="0">
      <text>
        <r>
          <rPr>
            <b/>
            <sz val="9"/>
            <color indexed="81"/>
            <rFont val="Tahoma"/>
            <family val="2"/>
          </rPr>
          <t>Gloria A. Sanchez M.:</t>
        </r>
        <r>
          <rPr>
            <sz val="9"/>
            <color indexed="81"/>
            <rFont val="Tahoma"/>
            <family val="2"/>
          </rPr>
          <t xml:space="preserve">
Facultad de Ingenierías: Se cumple la meta estándar nacional , en la Facultad de ingenierías se obtuvo un resultado del 77,97%. De un total de 59 docentes adscritos a la Facultad, por centro de costos, se tienen 37 docentes con formación en maestría, equivalente al 62,71%, seguido del nivel de formación de especialización con el 22.03% (13 docentes) y el 15,25% cuenta con nivel de formación de doctorado (9 docentes).
Discriminados por programa así:
Ing. Civil: Total docentes: 40 - 6 con doctorado - 22 con maestría y 12 con especialización.
Ing. Comercial: Total docentes: 10 - 1 con doctorado, 8 con maestría y 1 con especialización.
Ing. Sistemas: Total docentes: 6 - 2 con doctorado - 4 con maestría
Ing. Financiera: Total docentes: 4 - 4 con maestría</t>
        </r>
      </text>
    </comment>
    <comment ref="D124" authorId="0" shapeId="0">
      <text>
        <r>
          <rPr>
            <b/>
            <sz val="9"/>
            <color indexed="81"/>
            <rFont val="Tahoma"/>
            <family val="2"/>
          </rPr>
          <t>Gloria Amparo Sanchez:</t>
        </r>
        <r>
          <rPr>
            <sz val="9"/>
            <color indexed="81"/>
            <rFont val="Tahoma"/>
            <family val="2"/>
          </rPr>
          <t xml:space="preserve">
Rango Bueno: 100% - 80%</t>
        </r>
      </text>
    </comment>
    <comment ref="E124" authorId="1" shapeId="0">
      <text>
        <r>
          <rPr>
            <b/>
            <sz val="9"/>
            <color indexed="81"/>
            <rFont val="Tahoma"/>
            <family val="2"/>
          </rPr>
          <t>Gloria A. Sanchez M.:</t>
        </r>
        <r>
          <rPr>
            <sz val="9"/>
            <color indexed="81"/>
            <rFont val="Tahoma"/>
            <family val="2"/>
          </rPr>
          <t xml:space="preserve">
2022: Durante el año 2022, no se radicaron documentos para acreditación en la seccional, pero de acuerdo a las radicaciones realizadas durante las vigencias anteriores, se recibió visita de pares amigos y pares externos del CNA, para los siguientes programas:
1. Enfermería
2. Ingeniería comercial
3. Ingeniería civil
Estamos a la espera de la resolución de los tres programas antes mencionados y Economía</t>
        </r>
      </text>
    </comment>
    <comment ref="D125" authorId="0" shapeId="0">
      <text>
        <r>
          <rPr>
            <b/>
            <sz val="9"/>
            <color indexed="81"/>
            <rFont val="Tahoma"/>
            <family val="2"/>
          </rPr>
          <t>Gloria Amparo Sanchez:</t>
        </r>
        <r>
          <rPr>
            <sz val="9"/>
            <color indexed="81"/>
            <rFont val="Tahoma"/>
            <family val="2"/>
          </rPr>
          <t xml:space="preserve">
Rango Bueno: 100% - 90%</t>
        </r>
      </text>
    </comment>
    <comment ref="E125" authorId="1" shapeId="0">
      <text>
        <r>
          <rPr>
            <b/>
            <sz val="9"/>
            <color indexed="81"/>
            <rFont val="Tahoma"/>
            <family val="2"/>
          </rPr>
          <t>Gloria A. Sanchez M.:</t>
        </r>
        <r>
          <rPr>
            <sz val="9"/>
            <color indexed="81"/>
            <rFont val="Tahoma"/>
            <family val="2"/>
          </rPr>
          <t xml:space="preserve">
Año 2022: Se cumplió la meta estándar nacional, obteniendo un resultado en la seccional del 100%, de un total de 6 programas proyectados para renovación de registro calificad, todos fueron radicados en la plataforma SACES (Especializaciones en: Responsabilidad Médica, Derecho de Daños y responsabilidad pública y privada, Derecho procesal probatorio y oralidad, Derecho del trabajo, pensiones y riesgos laborales, Maestría en Derecho Constitucional y pregrado en Administración). Otros 8 programas académicos a los que se les hizo acompañamiento fueron (Maestría en Seguridad y salud en el trabajo, Pregrados en: Contaduría Pública, Ingenierías: Comercial, Financiera, Sistemas, Civil, Nutrición y Dietética y Microbiología) Programas a los cuales se les hizo acompañamiento por parte de Aseguramiento de la calidad académica y la Oficina de Planeación, se muestran a continuación:
Facultad de Ciencias de la Salud, exactas y naturales:
1. Maestría en gestión de la seguridad y salud en el trabajo: Se apoyó para completitud Pendiente de resolución MEN
1. Pregrado en Nutrición y Dietética: Listo para radicar el documento maestro en Febrero de 2023
2. Pregrado en Microbiología: Listo para entrega a Planeación Nacional el 11 de marzo de 2023
Facultad de Derecho Ciencias Políticas y Sociales:
3. Especialización en Responsabilidad Médica: Se obtuvo la Resolución de 1ª. renovación de registro calificado (Resolución de Aprobación 006496 del 25 abril de 2022)
4. Especialización en Derecho de Daños y responsabilidad pública y privada: Pendiente de resolución MEN
5. Especialización en derecho procesal probatorio y oralidad: Pendiente de resolución MEN
6. Especialización en derecho del trabajo, pensiones y riesgos laborales: Pendiente de resolución MEN
7. Maestría en Derecho Constitucional: Pendiente de resolución MEN
Facultad de Ciencias Económicas, Administrativas y Contables
8. Pregrado en Contaduría Pública: Se obtuvo la Resolución de Aprobación de 2ª. renovación de Registro Calificado No. 014395 de julio 22 de 2022
9. Pregrado en Administración de Empresas: Pendiente de resolución MEN
Facultad de Ingenierías: Con Resoluciones de aprobación del MEN para modificación a 8 semestres:
10. Pregrado en Ingeniería comercial: Resolución No. 004697 del 01 de abril de 2022
11. Pregrado en Ingeniería Financiera: Resolución No. 004695 del 1 abril de 2022
12. Pregrado en Ingeniería Civil: Resolución No. 007758 del 06 de mayo de 2022
13. Pregrado en Ingeniería de Sistemas: Resolución No. 000713 25 enero 2022), Por la cual se corrige la Resolución 023732 de 10 de diciembre de 2021
Se realizó seguimiento al cumplimiento de los momentos 1 y 2 de autoevaluación, en razón de establecer las fechas precisas de cada fase y procedimiento durante la vigencia del Registro Calificado.</t>
        </r>
      </text>
    </comment>
    <comment ref="D126" authorId="0" shapeId="0">
      <text>
        <r>
          <rPr>
            <b/>
            <sz val="9"/>
            <color indexed="81"/>
            <rFont val="Tahoma"/>
            <family val="2"/>
          </rPr>
          <t>Gloria Amparo Sanchez:</t>
        </r>
        <r>
          <rPr>
            <sz val="9"/>
            <color indexed="81"/>
            <rFont val="Tahoma"/>
            <family val="2"/>
          </rPr>
          <t xml:space="preserve">
Rango Bueno: 5 - 3,5</t>
        </r>
      </text>
    </comment>
    <comment ref="E126" authorId="1" shapeId="0">
      <text>
        <r>
          <rPr>
            <b/>
            <sz val="9"/>
            <color indexed="81"/>
            <rFont val="Tahoma"/>
            <family val="2"/>
          </rPr>
          <t>Gloria A. Sanchez M.:</t>
        </r>
        <r>
          <rPr>
            <sz val="9"/>
            <color indexed="81"/>
            <rFont val="Tahoma"/>
            <family val="2"/>
          </rPr>
          <t xml:space="preserve">
Se cumplió con la meta estándar del indicador, donde la evaluación de los docentes de la Facultad, arrojó un promedio de 4.66 en el primer semestre 2022-1 se aplicó a 53 docentes y los valores estuvieron entre 4.0 y 4.94. Por programa académico los promedios fueron así:
Nutrición y dietética, 4,61; Microbiología, 4,66 y Enfermería, 4,71. Los resultados obtenidos hablan del compromiso y responsabilidad de los docentes en su actividad laboral. El 88% de los estudiantes realizaron la evaluación, superando el 70% que exige la norma.</t>
        </r>
      </text>
    </comment>
    <comment ref="K126" authorId="1" shapeId="0">
      <text>
        <r>
          <rPr>
            <b/>
            <sz val="9"/>
            <color indexed="81"/>
            <rFont val="Tahoma"/>
            <family val="2"/>
          </rPr>
          <t>Gloria A. Sanchez M.:</t>
        </r>
        <r>
          <rPr>
            <sz val="9"/>
            <color indexed="81"/>
            <rFont val="Tahoma"/>
            <family val="2"/>
          </rPr>
          <t xml:space="preserve">
Para el presente período se cumplió con la meta estándar del indicador, ya que el promedio general de la facultad fue de 4,72. La evaluación se aplicó a 53 docentes, 38 de planta y 16 catedráticos.
En cuanto a la evaluación por programa académico, el promedio obtenido para el programa de Enfermería fue de 4,74, con una nota mínima de 3,15 y una máxima de 4,98. Para el caso del docente con la más baja calificación, se notificó y se realizó una actividad de mejoramiento.
El programa de Microbiología muestra un promedio de 4,75, con una nota mínima de 4,31 y una máxima de 4,95.
El programa de Nutrición y Dietética obtuvo un promedio de 4,67, con una mínima de 3,78 y una máxima de 4,95.
En términos generales la facultad muestra una calificación que da fe del compromiso, didáctica y responsabilidad.
</t>
        </r>
      </text>
    </comment>
    <comment ref="E127" authorId="1" shapeId="0">
      <text>
        <r>
          <rPr>
            <b/>
            <sz val="9"/>
            <color indexed="81"/>
            <rFont val="Tahoma"/>
            <family val="2"/>
          </rPr>
          <t>Gloria A. Sanchez M.:</t>
        </r>
        <r>
          <rPr>
            <sz val="9"/>
            <color indexed="81"/>
            <rFont val="Tahoma"/>
            <family val="2"/>
          </rPr>
          <t xml:space="preserve">
Para el período académico 2022-1 la Facultad obtuvo un resultado promedio de 4.61, cumpliendo con la meta estandar nacional, distribuida la evaluación por programa así:
Economía: 4.58
Contaduría Pública :4.72
Administración de Empresas: 4.52
Con base en los anteriores resultados, a tres docentes se les informó acerca de su evaluación y las observaciones realizadas por los estudiantes, donde a dos de ellos se les esta formulando un plan de acción de mejora para su ejecución durante el segundo semestre académico de 2022 y a ltercer docente no se le renovó su contrato de trabajo.</t>
        </r>
      </text>
    </comment>
    <comment ref="K127" authorId="1" shapeId="0">
      <text>
        <r>
          <rPr>
            <b/>
            <sz val="9"/>
            <color indexed="81"/>
            <rFont val="Tahoma"/>
            <family val="2"/>
          </rPr>
          <t>Gloria A. Sanchez M.:</t>
        </r>
        <r>
          <rPr>
            <sz val="9"/>
            <color indexed="81"/>
            <rFont val="Tahoma"/>
            <family val="2"/>
          </rPr>
          <t xml:space="preserve">
Se puede observar que para ambos periodos se ha cumplido con la meta estándar nacional, tanto para la Facultad en su conjunto como para cada uno de los programas reflejada en la tendencia creciente de sus resultados como acciones de mejora. De manera más específica, el programa de Contaduría Pública presenta una ligera tendencia a la baja en sus resultados sin que este alejada del promedio de la Facultad y dentro del estándar nacional de la universidad.
El docente identificado con cédula de ciudadanía número 10.283.129 esta desvinculado de la Universidad desde julio 1º de 2022
La docente identificada con la cédula de ciudadanía número 42.060.692, para el 2022-2 se presenta la necesidad de implementar y desarrollar el plan de mejora académico soportado en los siguientes aspectos:
.- Revisión del proceso de fusión de la asignatura de presupuesto, para la orientación de los enfoques en Contaduría Pública y Administración de Empresas
.- Replantear los conceptos y prácticas metodológicas para el desarrollo de las asignaturas. ,.
.- Revisar y reorientar el proceso de evaluación a los estudiantes
.- Realizar proceso de capacitación a través de la Escuela de Formación Docente</t>
        </r>
      </text>
    </comment>
    <comment ref="E128" authorId="1" shapeId="0">
      <text>
        <r>
          <rPr>
            <b/>
            <sz val="9"/>
            <color indexed="81"/>
            <rFont val="Tahoma"/>
            <family val="2"/>
          </rPr>
          <t>Gloria A. Sanchez M.:</t>
        </r>
        <r>
          <rPr>
            <sz val="9"/>
            <color indexed="81"/>
            <rFont val="Tahoma"/>
            <family val="2"/>
          </rPr>
          <t xml:space="preserve">
El programa de Derecho semestralizado para el período 2022-1, evaluó 5 docentes que cumpliero con el 70% de la evaluación estudiantil de un total de 37 asignados al programa de Derecho Semestral, con un promedio de 4.58.
Es importante aclarar que para el programa anualizado, se realizará en el mes de Octubre de 2022.
Con el ánimo de lograr mayor participación de los estudiantes en la evaluación docente, se están realizando acciones para promocionar la importancia del proceso.
</t>
        </r>
      </text>
    </comment>
    <comment ref="K128" authorId="1" shapeId="0">
      <text>
        <r>
          <rPr>
            <b/>
            <sz val="9"/>
            <color indexed="81"/>
            <rFont val="Tahoma"/>
            <family val="2"/>
          </rPr>
          <t>Gloria A. Sanchez M.:</t>
        </r>
        <r>
          <rPr>
            <sz val="9"/>
            <color indexed="81"/>
            <rFont val="Tahoma"/>
            <family val="2"/>
          </rPr>
          <t xml:space="preserve">
El programa de Derecho semestralizado para el período 2022-2, obtuvo un resultado de evaluación docente 4.95 correspondiente a una docente, ya que no fue posible llgar al 70% de evaluación estudiantil en los 49 docentes objeto de evaluación para este período.
Es importante anotar que la baja participación de los estudiantes obedece a la falta de credibilidad en el proceso de evaluación, como oportunidad de mejora se han venido desarrollando estrategias de concientización, promoción de la evaluación docente con los representantes de grupo y líderes estudiantiles, con el fin de lograr que los estudiantes realicen el proceso de evaluación en su integralidad, para lograr que los estudiantes tengan claro la importancia de evaluar a sus docentes.
El programa de Trabajo Social, obtuvo un resultado de evaluación docente de 4.45 correspondiente a 20 docentes de un total de 21 docentes objeto de evaluación.
Es importante informar que las observaciones realizadas por los estudiantes en su evaluación de cada uno de los programas se les envía como retroalimentación y mejora de proceso.
NOTA: los docentes evaluados se toman como centro de costos de cada uno de los programas.
</t>
        </r>
      </text>
    </comment>
    <comment ref="E129" authorId="1" shapeId="0">
      <text>
        <r>
          <rPr>
            <b/>
            <sz val="9"/>
            <color indexed="81"/>
            <rFont val="Tahoma"/>
            <family val="2"/>
          </rPr>
          <t>Gloria A. Sanchez M.:</t>
        </r>
        <r>
          <rPr>
            <sz val="9"/>
            <color indexed="81"/>
            <rFont val="Tahoma"/>
            <family val="2"/>
          </rPr>
          <t xml:space="preserve">
2022-1: Durante el primer semestre en la Facultad se cumplió la meta nacional de 4,5, obteniéndose un resultado del 4,61. de un total de 61 docentes evaluados se obtuvieron los siguientes resultados: 72.13% (44 docentes) obtuvieron la calificación de Excelente; 24.59% (15 docentes) obtuvieron la calificación de Bueno y 3,28% (2 docentes) obtuvieron la calificación de Satisfactorio. No se obtuvieron calificaciones de Regular o Muy Deficiente.
Como plan de acción el Comité de Evaluación y Selección Docente recomendó que los docentes con evaluación de Satisfactorio revisen las estrategias metodológicas.
Nota:
1.El número de docentes para cada programa varía en relación con los asignados al centro de costos, toda vez que existen varios docentes vinculados en varios programas de la Facultad
2. La evaluación docente no es posible obtenerla por programa, toda vez que el resultado se obtiene de la totalidad de estudiantes que un docente tiene en los diversos grupos asignados, es decir, con la participación de todos los programas, además de la existencia del área de Ciencias Básicas</t>
        </r>
      </text>
    </comment>
    <comment ref="K129" authorId="1" shapeId="0">
      <text>
        <r>
          <rPr>
            <b/>
            <sz val="9"/>
            <color indexed="81"/>
            <rFont val="Tahoma"/>
            <family val="2"/>
          </rPr>
          <t>Gloria A. Sanchez M.:</t>
        </r>
        <r>
          <rPr>
            <sz val="9"/>
            <color indexed="81"/>
            <rFont val="Tahoma"/>
            <family val="2"/>
          </rPr>
          <t xml:space="preserve">
Durante el segundo semestre en la Facultad se cumplió la meta nacional de cuatro punto cinco (4.5), obteniéndose un resultado de cuatro sesenta y uno (4,61). De un total de 61 docentes evaluados se obtuvieron los siguientes resultados: 70,49% (43 docentes) obtuvieron la calificación de Excelente; 27,86% (17 docentes) obtuvieron la calificación de Bueno y 1,63% (1 docente) obtuvieron la calificación de Regular. No se obtuvieron calificaciones de Satisfactorio o Muy deficiente; distribuida la evaluación por programa así:
Ingeniería Comercial: 4,73
Ingeniería Civil: 4,56
Ingeniería de Sistemas: 4,70
Ingeniería Financiera: 4,72
Como Plan de acción el Comité de Evaluación y Selección Docente de la Facultad recomendó que los docentes con evaluación estudiantiles por debajo de 4, calificación Satisfactoria, revisen las estrategias estrategias metodológicas. Y con relación al docente que obtuvo la Evaluación de Regular dar aplicación lo establecido en el Artículo 51. Consecuencias de la evaluación docente contemplado en el Reglamento Docente (Acuerdo Nro 06 de 2017).
Nota 1. El número de docentes para cada programa varía en relación con los asignados al centro de costo, toda vez que existen varios docentes vinculados en varios programas de la Facultad.
Nota 2. La evaluación docente no es posible obtenerla por programa toda vez que el resultado se obtiene de la totalidad de estudiantes que un docente tiene en los diversos grupos asignados, es decir, con la participación de todos los programas, además de la existencia del área de Ciencias Básicas.
</t>
        </r>
      </text>
    </comment>
    <comment ref="D130" authorId="0" shapeId="0">
      <text>
        <r>
          <rPr>
            <b/>
            <sz val="9"/>
            <color indexed="81"/>
            <rFont val="Tahoma"/>
            <family val="2"/>
          </rPr>
          <t>Gloria Amparo Sanchez:</t>
        </r>
        <r>
          <rPr>
            <sz val="9"/>
            <color indexed="81"/>
            <rFont val="Tahoma"/>
            <family val="2"/>
          </rPr>
          <t xml:space="preserve">
Rango Bueno: 5 - 3,5</t>
        </r>
      </text>
    </comment>
    <comment ref="E130" authorId="1" shapeId="0">
      <text>
        <r>
          <rPr>
            <b/>
            <sz val="9"/>
            <color indexed="81"/>
            <rFont val="Tahoma"/>
            <family val="2"/>
          </rPr>
          <t>Gloria A. Sanchez M.:</t>
        </r>
        <r>
          <rPr>
            <sz val="9"/>
            <color indexed="81"/>
            <rFont val="Tahoma"/>
            <family val="2"/>
          </rPr>
          <t xml:space="preserve">
En la Facultad de Ciencias de la Salud, Exactas y Naturales se programaron 11328 horas en aula, de las cuales se cumplió el 100%. Es importante anotar que la presencialidad después de casi dos años de trabajo virtual se constituyó en un elemento muy importante de relacionamiento e incremento del sentido de pertenencia a la institución.
Además las actividades de práctica formativa y profesional extrainstitucional se cumplió a cabalidad.</t>
        </r>
      </text>
    </comment>
    <comment ref="K130" authorId="1" shapeId="0">
      <text>
        <r>
          <rPr>
            <b/>
            <sz val="9"/>
            <color indexed="81"/>
            <rFont val="Tahoma"/>
            <family val="2"/>
          </rPr>
          <t>Gloria A. Sanchez M.:</t>
        </r>
        <r>
          <rPr>
            <sz val="9"/>
            <color indexed="81"/>
            <rFont val="Tahoma"/>
            <family val="2"/>
          </rPr>
          <t xml:space="preserve">
La facultad de Ciencias de la salud, exactas y naturales cumplió durante el segundo semestre de 2022 con el 100% de clases programadas, tanto en lo que se refiere a horas teóricas, como de laboratorio y práctica de cada uno de los programas, Así:
Enfermería: 6292 horas
Microbiología: 4064 horas
Nutrición y dietética: 4300 horas</t>
        </r>
      </text>
    </comment>
    <comment ref="E131" authorId="1" shapeId="0">
      <text>
        <r>
          <rPr>
            <b/>
            <sz val="9"/>
            <color indexed="81"/>
            <rFont val="Tahoma"/>
            <family val="2"/>
          </rPr>
          <t>Gloria A. Sanchez M.:</t>
        </r>
        <r>
          <rPr>
            <sz val="9"/>
            <color indexed="81"/>
            <rFont val="Tahoma"/>
            <family val="2"/>
          </rPr>
          <t xml:space="preserve">
En la Facultad de Ciencias Económicas, administrativas y Contables :
Se cumple la meta nacional del 100% con 8576 horas de clases presenciales en el semestre programadas y ejecutadas (536 horas presenciales semanales por 16 semanas )
Como novedad se presentaron dos horas no dictadas en el horario establecido para el docente, las cuales fueron recuperadas.</t>
        </r>
      </text>
    </comment>
    <comment ref="K131" authorId="1" shapeId="0">
      <text>
        <r>
          <rPr>
            <b/>
            <sz val="9"/>
            <color indexed="81"/>
            <rFont val="Tahoma"/>
            <family val="2"/>
          </rPr>
          <t>Gloria A. Sanchez M.:</t>
        </r>
        <r>
          <rPr>
            <sz val="9"/>
            <color indexed="81"/>
            <rFont val="Tahoma"/>
            <family val="2"/>
          </rPr>
          <t xml:space="preserve">
En la Facultad de Ciencias Económicas, administrativas y Contables :
Se cumple la meta nacional del 100% con 8576 horas de clases presenciales en el semestre programadas y ejecutadas (536 horas presenciales semanales por 16 semanas )
Como novedad se presentaron dos horas no dictadas en el horario establecido para el docente, las cuales fueron recuperadas.</t>
        </r>
      </text>
    </comment>
    <comment ref="E132" authorId="1" shapeId="0">
      <text>
        <r>
          <rPr>
            <b/>
            <sz val="9"/>
            <color indexed="81"/>
            <rFont val="Tahoma"/>
            <family val="2"/>
          </rPr>
          <t>Gloria A. Sanchez M.:</t>
        </r>
        <r>
          <rPr>
            <sz val="9"/>
            <color indexed="81"/>
            <rFont val="Tahoma"/>
            <family val="2"/>
          </rPr>
          <t xml:space="preserve">
FACULTAD DE DERECHO, CIENCIAS POLÍTICAS Y SOCIALES
Se cumple la meta nacional del 100% con 4.544 horas de clases presenciales en el semestre 2022-1 programadas y ejecutadas (1.984 Programa de Derecho Semestralizado y 4.544 horas del programa de Trabajo Social presenciales semanales por 16 semanas).</t>
        </r>
      </text>
    </comment>
    <comment ref="K132" authorId="1" shapeId="0">
      <text>
        <r>
          <rPr>
            <b/>
            <sz val="9"/>
            <color indexed="81"/>
            <rFont val="Tahoma"/>
            <family val="2"/>
          </rPr>
          <t>Gloria A. Sanchez M.:</t>
        </r>
        <r>
          <rPr>
            <sz val="9"/>
            <color indexed="81"/>
            <rFont val="Tahoma"/>
            <family val="2"/>
          </rPr>
          <t xml:space="preserve">
FACULTAD DE DERECHO, CIENCIAS POLÍTICAS Y SOCIALES
Se cumple la meta nacional del 100% con 6.580 horas de clases presenciales en el semestre 2022-2 programadas y ejecutadas (2.036 Programa de Derecho Semestralizado y 4.544 horas del programa de Trabajo Social presenciales semanales por 16 semanas).</t>
        </r>
      </text>
    </comment>
    <comment ref="E133" authorId="1" shapeId="0">
      <text>
        <r>
          <rPr>
            <b/>
            <sz val="9"/>
            <color indexed="81"/>
            <rFont val="Tahoma"/>
            <family val="2"/>
          </rPr>
          <t>Gloria A. Sanchez M.:</t>
        </r>
        <r>
          <rPr>
            <sz val="9"/>
            <color indexed="81"/>
            <rFont val="Tahoma"/>
            <family val="2"/>
          </rPr>
          <t xml:space="preserve">
Facultad de Ingeniería: En la facultad desde el inicio de las clases y hasta la fecha de terminación del período académico contemplado en el Calendario Académico para el primer semestre de 2022-1, las clases programadas desde cada uno de los programas adscritos a la Facultad y desde el área de Ciencias Básicas se orientaron en un 100%. La metodología implementada fue presencial.</t>
        </r>
      </text>
    </comment>
    <comment ref="K133" authorId="1" shapeId="0">
      <text>
        <r>
          <rPr>
            <b/>
            <sz val="9"/>
            <color indexed="81"/>
            <rFont val="Tahoma"/>
            <family val="2"/>
          </rPr>
          <t>Gloria A. Sanchez M.:</t>
        </r>
        <r>
          <rPr>
            <sz val="9"/>
            <color indexed="81"/>
            <rFont val="Tahoma"/>
            <family val="2"/>
          </rPr>
          <t xml:space="preserve">
Facultad de Ingeniería: En la facultad desde el inicio de las clases y hasta la fecha de terminación del período académico contemplado en el Calendario Académico para el primer semestre de 2022-2, las clases programadas desde cada uno de los programas adscritos a la Facultad y desde el área de Ciencias Básicas se orientaron en un 100%. La metodología implementada fue presencial.</t>
        </r>
      </text>
    </comment>
    <comment ref="D134" authorId="0" shapeId="0">
      <text>
        <r>
          <rPr>
            <b/>
            <sz val="9"/>
            <color indexed="81"/>
            <rFont val="Tahoma"/>
            <family val="2"/>
          </rPr>
          <t>Gloria Amparo Sanchez:</t>
        </r>
        <r>
          <rPr>
            <sz val="9"/>
            <color indexed="81"/>
            <rFont val="Tahoma"/>
            <family val="2"/>
          </rPr>
          <t xml:space="preserve">
Indicador: de Investigaciones: “GRUPOS DE INVESTIGACIÓN RECONOCIDOS Y ESCALAFONADOS POR MINCIENCIAS” Para las Seccionales de Cali y Cúcuta la formula fue corregida. </t>
        </r>
      </text>
    </comment>
    <comment ref="E134" authorId="1" shapeId="0">
      <text>
        <r>
          <rPr>
            <b/>
            <sz val="9"/>
            <color indexed="81"/>
            <rFont val="Tahoma"/>
            <family val="2"/>
          </rPr>
          <t>Gloria A. Sanchez M.:</t>
        </r>
        <r>
          <rPr>
            <sz val="9"/>
            <color indexed="81"/>
            <rFont val="Tahoma"/>
            <family val="2"/>
          </rPr>
          <t xml:space="preserve">
Se cumple la meta estándar nacional, con un resultado seccional de 12,50%. De los 11 grupos de investigación presentados por la Seccional ante Minciencias en la convocatoria 894, el 100%nfueron reconocidos y clasificados, mostrando un salto cuantitativo en el sentido que es primera vez que todos los grupos fueron clasificados. En la Facultad de Ciencias Económicas Administrativas y Contables los tres grupos mantuvieron su clasificación en B, resultado satisfactorio de acuerdo al número de docentes investigadores. En la Facultad de ingeniería dos grupos INAP y TRUEQUE, bajaron su clasificación quedando en B, este cambio obedece de un lado al crecimiento presentado em el indicador de grupo nacional, y de otra parte al efecto que tuvo el menor puntaje en el modelo de MInciencias de los libros y capítulos de libro. Se destaca que el grupo DRACMA, fue clasificado en B. Los dos grupos GICIVIL y OBELIX conservaron su clasificación. En la Facultad de Derecho, Ciencias Políticas y Sociales, el grupos Derecho, Estado y Sociedad conservó su clasificación en A.
En la Facultad de Ciencias de la Salud, Exactas y Naturales, se presentaron crecimientos el grupo Gerencia del Cuidado fue clasificado en A. y el grupo MICROBIOTEC en A1, este magnifico resultado expresa el trabajo en equipo, la estrategia y seguimiento a la misma, alcanzando por primera vez la seccional un grupo esta clasificación.
En general los resultados en la seccional de los grupos de investigación fueron positivos , consecuente con el trabajo colaborativo.</t>
        </r>
      </text>
    </comment>
    <comment ref="D135" authorId="0" shapeId="0">
      <text>
        <r>
          <rPr>
            <b/>
            <sz val="9"/>
            <color indexed="81"/>
            <rFont val="Tahoma"/>
            <family val="2"/>
          </rPr>
          <t>Gloria Amparo Sanchez:</t>
        </r>
        <r>
          <rPr>
            <sz val="9"/>
            <color indexed="81"/>
            <rFont val="Tahoma"/>
            <family val="2"/>
          </rPr>
          <t xml:space="preserve">
Rango bueno: 5 - 4</t>
        </r>
      </text>
    </comment>
    <comment ref="E135" authorId="1" shapeId="0">
      <text>
        <r>
          <rPr>
            <b/>
            <sz val="9"/>
            <color indexed="81"/>
            <rFont val="Tahoma"/>
            <family val="2"/>
          </rPr>
          <t>Gloria A. Sanchez M.:</t>
        </r>
        <r>
          <rPr>
            <sz val="9"/>
            <color indexed="81"/>
            <rFont val="Tahoma"/>
            <family val="2"/>
          </rPr>
          <t xml:space="preserve">
Se cumple la meta estándar de valoración de las actividades de grupos de investigación, con un resultado seccional de 4.58 en los 12 grupos de investigación, discriminado por Facultad así:
Facultad de Ingenierías: 4,5 ( 5 evaluaciones de los grupos de investigación)
Facultad de CEAC: 4,5 ( 3 evaluaciones de los grupos de investigación)
Facultad de Derecho CPS: 4,5 ( 1 evaluación del grupo de investigación)
Facultad de Ciencias de la Salud Exactas y naturales: 4,8 ( 3 evaluaciones de los grupos de investigación)</t>
        </r>
      </text>
    </comment>
    <comment ref="K135" authorId="1" shapeId="0">
      <text>
        <r>
          <rPr>
            <b/>
            <sz val="9"/>
            <color indexed="81"/>
            <rFont val="Tahoma"/>
            <family val="2"/>
          </rPr>
          <t>Gloria A. Sanchez M.:</t>
        </r>
        <r>
          <rPr>
            <sz val="9"/>
            <color indexed="81"/>
            <rFont val="Tahoma"/>
            <family val="2"/>
          </rPr>
          <t xml:space="preserve">
Los resultados de las actividades desarrolladas de los grupos de investigación de la seccional presentaron un resultado total de 4.67 puntos, sumando la meta estándar de 4. Por facultad, su comportamiento fue el siguiente: En Ingeniera 4,60, Ciencias Económicas Administrativas y Contables 4,67. La faculta de Derecho Ciencias Políticas y Sociales 4.50 y la Faculta de Ciencias de la Salud, exactas y naturales 4.90. Estos resultados son coherentes con el resultados del PIDI que evalua los proyectos 11 y 12 de investigación.</t>
        </r>
      </text>
    </comment>
    <comment ref="D136" authorId="0" shapeId="0">
      <text>
        <r>
          <rPr>
            <b/>
            <sz val="9"/>
            <color indexed="81"/>
            <rFont val="Tahoma"/>
            <family val="2"/>
          </rPr>
          <t>Gloria Amparo Sanchez:</t>
        </r>
        <r>
          <rPr>
            <sz val="9"/>
            <color indexed="81"/>
            <rFont val="Tahoma"/>
            <family val="2"/>
          </rPr>
          <t xml:space="preserve">
Rango bueno: 2,99% - 1,50%</t>
        </r>
      </text>
    </comment>
    <comment ref="E136" authorId="1" shapeId="0">
      <text>
        <r>
          <rPr>
            <b/>
            <sz val="9"/>
            <color indexed="81"/>
            <rFont val="Tahoma"/>
            <family val="2"/>
          </rPr>
          <t>Gloria A. Sanchez M.:</t>
        </r>
        <r>
          <rPr>
            <sz val="9"/>
            <color indexed="81"/>
            <rFont val="Tahoma"/>
            <family val="2"/>
          </rPr>
          <t xml:space="preserve">
Durante el 2022, se cumplió la meta nacional, obteniéndose un resultado del 5,13%. Se movilizaron internacionalmente 6 profesores, de los cuales 1 fue de manera virtual.
Es importante aclarar que para determinar l planta docente que cumple con los requisitos del indicador, se tomó en cuenta 97 profesores en jornada completa con una antigüedad mayor a 6 años y 20 docentes de media jornada con una antigüedad mínima de 3 años. El objetivo de las movilidades, fue cumplir actividades acordes con su labor de investigación y fortalecimiento de redes de investigación internacionales.</t>
        </r>
      </text>
    </comment>
    <comment ref="D137" authorId="0" shapeId="0">
      <text>
        <r>
          <rPr>
            <b/>
            <sz val="9"/>
            <color indexed="81"/>
            <rFont val="Tahoma"/>
            <family val="2"/>
          </rPr>
          <t>Gloria Amparo Sanchez:</t>
        </r>
        <r>
          <rPr>
            <sz val="9"/>
            <color indexed="81"/>
            <rFont val="Tahoma"/>
            <family val="2"/>
          </rPr>
          <t xml:space="preserve">
Rango bueno: 2,99% - 1,50%</t>
        </r>
      </text>
    </comment>
    <comment ref="E137" authorId="1" shapeId="0">
      <text>
        <r>
          <rPr>
            <sz val="8"/>
            <color indexed="81"/>
            <rFont val="Tahoma"/>
            <family val="2"/>
          </rPr>
          <t>Durante el año 2022 la seccional cumplió la meta estándar del indicador, obteniéndose un resultado del 34,61%. De un total de 2.199 estudiantes que cursaron el 40% de los créditos, 761 se beneficiaron con programas de movilidad entrante y saliente (17 presencial de estudiantes hacia el exterior y 744 modalidad virtual).
Modalidad presencial:
Se tuvieron 3 estudiantes en movilidad internacional entrante de Ingeniería civil (1) y Microbiología (2), provenientes de México, generada por la participación del convenio de cooperación en investigación DELFIN.
El total de estudiantes en movilidad saliente internacional fue de 17 alumnos por movilidad en las 4 Facultades: Ciencias económicas y administrativas - Derecho Ciencias Políticas y sociales - Ingenierías y Ciencias de la Salud Exactas y naturales, desagregados así: intercambio 9, 5 estudiantes por movilidad doble titulación, internacional con México Clacso y un curso virtual de programación de 20 estudiantes de ingeniería de sistemas (RIISIC - Argentina).
A continuación listo la movilidad virtual internacional reportada por las facultades en 2022:
Internacionalización virtual 2022:
Faceac: Información del diplomado internacional en finanzas internacionales desarrollado en colaboración con la Universidad Nacional Autónoma de México - asisten virtualmente 23 estudiantes UL y dos extranjeros (docentes que dictan el seminario)
Charla informativa con Northwestern State, USA: Se conectan 119 personas estudiantes UL
Participación en el seminario de Doctorado del Doctor Edgar Ortiz de la Universidad Nacional Autónoma de México. Asiste la postulante a doctorado profesora Angelica Morales.
Ingeniería de Sistemas:
20222: webinar : control de bucles 20 estudiantes UL , webinar Red Hat 19 participantes entre estudiantes unilibristas y extranjeros, curso de programación 600 participantes: curso dado a nivel nacional a todos los estudiantes interesados de la universidad libre.</t>
        </r>
      </text>
    </comment>
    <comment ref="D138" authorId="1" shapeId="0">
      <text>
        <r>
          <rPr>
            <b/>
            <sz val="9"/>
            <color indexed="81"/>
            <rFont val="Tahoma"/>
            <family val="2"/>
          </rPr>
          <t>Gloria A. Sanchez M.:</t>
        </r>
        <r>
          <rPr>
            <sz val="9"/>
            <color indexed="81"/>
            <rFont val="Tahoma"/>
            <family val="2"/>
          </rPr>
          <t xml:space="preserve">
Determina el nivel de satisfacción de las entidades donde se desarrollan las prácticas empresariales, a través de las encuestas de satisfacción que se realizan durante el semestre.
SE MODIFICA NOMBRE DEL INDICADOR ANTES:
Nivel de Satisfacción de las entidades sobre calidad y pertinencia de las prácticas empresariales</t>
        </r>
      </text>
    </comment>
    <comment ref="E138" authorId="1" shapeId="0">
      <text>
        <r>
          <rPr>
            <b/>
            <sz val="9"/>
            <color indexed="81"/>
            <rFont val="Tahoma"/>
            <family val="2"/>
          </rPr>
          <t>Gloria A. Sanchez M.:</t>
        </r>
        <r>
          <rPr>
            <sz val="9"/>
            <color indexed="81"/>
            <rFont val="Tahoma"/>
            <family val="2"/>
          </rPr>
          <t xml:space="preserve">
Durante el primer semestre de 2022, registraron la práctica 366 estudiantes, 9 de ellos cancelaron el semestre y 18 de ellos perdieron la asignatura de prácticas. De los 357 estudiantes registrados para aplicar sus prácticas, 226 las finalizaron en las empresas con quienes se tienen convenios y/o acuerdos de voluntades vigentes, obteniendo una calificación empresarial total de 1016,54 puntos para un resultado promedio en la seccional del 4.49%.
Las calificaciones se desagregaron así: 77 estudiantes fueron evaluados por las empresas con calificación de 5.0; 146 de ellos en el intervalo de calificación entre 4.0 y 4.9 y solo 3 de ellos registraron una calificación empresarial entre 3.9 y 3.0; se destaca en las evaluaciones el buen comportamiento en los aspectos de: puntualidad, Planificación y Organización del Trabajo, relaciones interpersonales, cumplimiento de los compromisos establecidos y logro del objetivo definido para la práctica.
Hay en la población general de practicantes, 15 estudiantes de práctica social primer nivel del programa Trabajo Social en proceso de ejecución de prácticas; 68 de práctica social del programa de Administración de Empresas los cuales participan de un modelo de Hábitos Empresariales; a la fecha hay 50 certificados en proceso de validación por firma de los empresarios al ser recibidos en forma virtual sin firma digital.
Es importante tener en cuenta que la Universidad sigue realizando convenios con instituciones y/o sitios diferentes a la ciudad de origen ?Pereira- y que corresponden a los ubicaciones de vivienda de los estudiantes practicantes que logran incorporarse a sus regiones para hacer inmersión en el campo laboral a partir del desarrollo de sus prácticas universitarias; en el primer semestre del año 2022 contabamos con 11 convenios de los cuales 34 corresponden al sector público y 87 al sector privado.
366 ESTUDIANTES INSCRIBIERON SUS PRACTICAS EN EL PERIODO 2022-1
No. de practicantes Facultad de ingenierías: 143 (70 en práctica empresarial y 73 en práctica social)
No. de practicantes Facultad de Ciencias Económicas, administrativas y contables: 101
No. de practicantes Facultad de Ciencias de la Salud: 92
No. de practicantes Facultad de Derecho (Trabajo Social): 30
</t>
        </r>
      </text>
    </comment>
    <comment ref="K138" authorId="1" shapeId="0">
      <text>
        <r>
          <rPr>
            <b/>
            <sz val="9"/>
            <color indexed="81"/>
            <rFont val="Tahoma"/>
            <family val="2"/>
          </rPr>
          <t>Gloria A. Sanchez M.:</t>
        </r>
        <r>
          <rPr>
            <sz val="9"/>
            <color indexed="81"/>
            <rFont val="Tahoma"/>
            <family val="2"/>
          </rPr>
          <t xml:space="preserve">
De los 366 estudiantes finales para desarrollar sus prácticas, 226 las finalizaron en las empresas con quienes se tienen convenios y/o acuerdos de voluntades vigentes, obteniendo una calificación empresarial total de 1.016,54 puntos para un resultado promedio en la seccional del 4.5%, discriminados de la siguiente manera:
366 ESTUDIANTES INSCRIBIERON SUS PRACTICAS EN EL PERIODO 2022-1 No. de practicantes Facultad de ingenierías: 143 (70 en práctica empresarial y 73 en práctica social) No. de practicantes Facultad de Ciencias Económicas, administrativas y contables: 101 No. de practicantes Facultad de Ciencias de la Salud: 92 No. de practicantes Facultad de Derecho (Trabajo Social): 30
INFORME GENERAL - PRACTICAS 2022-1.xlsx
De los 367 estudiantes finales para desarrollar sus prácticas, 282 las finalizaron en las empresas con quienes se tienen convenios y/o acuerdos de voluntades vigentes, obteniendo una calificación empresarial total de 1.332,3 puntos para un resultado promedio en la seccional del 4.72%, discriminados de la siguiente manera:  367 ESTUDIANTES INSCRIBIERON SUS PRACTICAS EN EL PERIODO 2022-2 No. de practicantes Facultad de ingenierías: 177 (82 en práctica empresarial y 95 en práctica social) No. de practicantes Facultad de Ciencias Económicas, administrativas y contables: 81 No. de practicantes Facultad de Ciencias de la Salud: 87 No. de practicantes Facultad de Derecho (Trabajo Social): 22
RESUMEN INFO EVIDENCIAS INDICADOR ID 364 - KAWAK 2022-2.xlsx
</t>
        </r>
      </text>
    </comment>
    <comment ref="D139" authorId="1" shapeId="0">
      <text>
        <r>
          <rPr>
            <b/>
            <sz val="9"/>
            <color indexed="81"/>
            <rFont val="Tahoma"/>
            <family val="2"/>
          </rPr>
          <t>Gloria A. Sanchez M.:</t>
        </r>
        <r>
          <rPr>
            <sz val="9"/>
            <color indexed="81"/>
            <rFont val="Tahoma"/>
            <family val="2"/>
          </rPr>
          <t xml:space="preserve">
Determinar la eficiencia en la asignación de prácticas empresariales según el número de estudiantes que realizaron las solicitudes durante el semestre.
NOTA: SOLO APLICA PARA CIENCIAS EONÓMICAS Y CONTABLES E INGENIERÍAS.</t>
        </r>
      </text>
    </comment>
    <comment ref="E139" authorId="1" shapeId="0">
      <text>
        <r>
          <rPr>
            <b/>
            <sz val="9"/>
            <color indexed="81"/>
            <rFont val="Tahoma"/>
            <family val="2"/>
          </rPr>
          <t>Gloria A. Sanchez M.:</t>
        </r>
        <r>
          <rPr>
            <sz val="9"/>
            <color indexed="81"/>
            <rFont val="Tahoma"/>
            <family val="2"/>
          </rPr>
          <t xml:space="preserve">
Durante el primer semestre del año 2022, el total de solicitudes para asignación de prácticas fue de 244 y el número de prácticas asignadas fue de 243 equivalente al 99,59%; el estudiante faltante, obedece a que desde la oficina de Consultorio empresarial - Prácticas CEIDEUL, se le asignó la práctica pero no se presentó sin ninguna justificación.
La distribución por programa de estudiantes practicantes, es:
Administración de empresas: 39 prácticas asignadas (100%)
Contaduría Pública: 23 prácticas asignadas (95,83%)
Economía: 38 prácticas asignadas (100%)
Ingeniería Civil: 112 prácticas asignadas (100%)
Ingeniería Comercial: 24 prácticas asignadas (100%)
Ingeniería Sistemas: 6 prácticas asignadas (100%)
Ingeniería Financiera: 1 prácticas asignadas (100%)
Para este semestre, se contó con 121 centros de prácticas, de los cuales 34 correspondieron al sector público equivalente al 28.1% y 87 al sector privado equivalente al 71,9%</t>
        </r>
      </text>
    </comment>
    <comment ref="K139" authorId="1" shapeId="0">
      <text>
        <r>
          <rPr>
            <b/>
            <sz val="9"/>
            <color indexed="81"/>
            <rFont val="Tahoma"/>
            <family val="2"/>
          </rPr>
          <t>Gloria A. Sanchez M.:</t>
        </r>
        <r>
          <rPr>
            <sz val="9"/>
            <color indexed="81"/>
            <rFont val="Tahoma"/>
            <family val="2"/>
          </rPr>
          <t xml:space="preserve">
Durante el segundo semestre del año 2022, el total de solicitudes para asignación de prácticas fue de 367 y el número de prácticas asignadas fue de 365 equivalente al 99,45%; dos estudiantes faltantes, obedecen a que desde la oficina de Consultorio empresarial - Prácticas CEIDEUL, se le asignó la práctica pero no se presentaron a los sitios de práctica sin ninguna justificación.
La distribución de estudiantes practicantes por programa es:
Administración de empresas: 42 prácticas asignadas (100%)
Contaduría Pública: 20 prácticas asignadas (100%)
Economía: 18 prácticas asignadas (94.73%)
Ingeniería Civil: 124 prácticas asignadas (100%)
Ingeniería Comercial: 26 prácticas asignadas (100%)
Ingeniería Sistemas: 4 prácticas asignadas (80%)
Ingeniería Financiera: 22 prácticas asignadas (100%)
Para este semestre, se contó con 143 centros de prácticas, de los cuales 46 correspondieron al sector público equivalente al 32.2% y 97 al sector privado equivalente al 67.8%</t>
        </r>
      </text>
    </comment>
    <comment ref="E140" authorId="1" shapeId="0">
      <text>
        <r>
          <rPr>
            <b/>
            <sz val="9"/>
            <color indexed="81"/>
            <rFont val="Tahoma"/>
            <family val="2"/>
          </rPr>
          <t>Gloria A. Sanchez M.:</t>
        </r>
        <r>
          <rPr>
            <sz val="9"/>
            <color indexed="81"/>
            <rFont val="Tahoma"/>
            <family val="2"/>
          </rPr>
          <t xml:space="preserve">
De acuerdo con el número de convenios institucionales del semestre 2022-1, logramos contar con la participación de 121 sitios específicos descritos de la siguiente manera:
En el sector público 34 convenios realizados con instituciones como gobernaciones, alcaldías, hospitales, personerías, contralorías, DIAN e instituciones educativas.
En el sector privado 87 convenios realizados con empresarios en general (comercio, industria, servicios, construcción), emprendedores, fundaciones, corporaciones, asociaciones sectoriales, gremios de la producción y el sistema financiero.
Haciendo un seguimiento puntual a los listados de chequeo de los 26 grupos de prácticas y al acompañamiento en sitio o virtual por parte de 14 docentes asignados para los 26 grupos, encontramos un porcentaje de cumplimiento cercano al 72% al lograr atender en 87 visitas alrededor de 172 estudiantes de los 226 certificados puntualmente con el formato F06 de cumplimiento de las prácticas por parte de los empresarios. La población pendiente de verificación de las certificaciones (empresarios) y estudiantes se esta realizando vía telefónica para confirmar algunos certificados de cumplimiento de prácticas recibidos en forma virtual y sin firma por parte las empresas.
Plan de Trabajo PS 2022-1.xlsx</t>
        </r>
      </text>
    </comment>
    <comment ref="K140" authorId="1" shapeId="0">
      <text>
        <r>
          <rPr>
            <b/>
            <sz val="9"/>
            <color indexed="81"/>
            <rFont val="Tahoma"/>
            <family val="2"/>
          </rPr>
          <t>Gloria A. Sanchez M.:</t>
        </r>
        <r>
          <rPr>
            <sz val="9"/>
            <color indexed="81"/>
            <rFont val="Tahoma"/>
            <family val="2"/>
          </rPr>
          <t xml:space="preserve">
De acuerdo con el número de convenios institucionales del semestre 2022-2, logramos contar con la participación de 143 sitios de práctica, aclarando que desde el sector público, las secretarias de despacho así como los institutos descentralizados se contabilizan por unidad de acuerdo con la ubicación de los estudiantes practicantes y en forma específica descritos de la siguiente manera:
En el sector público, 46 convenios realizados con instituciones como gobernaciones, alcaldías, hospitales, personerías, contralorías, DIAN e instituciones educativas.
En el sector privado, 97 convenios realizados con empresarios en general (comercio, industria, servicios, construcción), emprendedores, fundaciones, corporaciones, asociaciones sectoriales, gremios de la producción y el sistema financiero.
Haciendo un seguimiento puntual a los listados de chequeo de los 20 grupos de prácticas y al acompañamiento de los docentes asignados a prácticas, el seguimiento se hizo de tres formas diferentes: en el sitio de prácticas (empresa/institución), mediante comunicaciones telefónicas o de manera virtual. Según la verificación, encontramos un porcentaje de cumplimiento cercano al 82% al lograr atender en 117 visitas alrededor de 323 estudiantes de los 367 que podrían estar certificados puntualmente con el formato F06 de cumplimiento de las prácticas por parte de los empresarios.
La población pendiente de verificación de las certificaciones (empresarios) se esta realizando mediante verificación de la información recibida vía e-mail, en pocos casos física, para confirmar no solo el seguimiento de los docentes sino también algunos certificados de cumplimiento de prácticas aportados por los estudiantes.
</t>
        </r>
      </text>
    </comment>
    <comment ref="E141" authorId="1" shapeId="0">
      <text>
        <r>
          <rPr>
            <b/>
            <sz val="9"/>
            <color indexed="81"/>
            <rFont val="Tahoma"/>
            <family val="2"/>
          </rPr>
          <t>Gloria A. Sanchez M.:</t>
        </r>
        <r>
          <rPr>
            <sz val="9"/>
            <color indexed="81"/>
            <rFont val="Tahoma"/>
            <family val="2"/>
          </rPr>
          <t xml:space="preserve">
En el año lectivo 2022 se recepcionaron 600 solicitudes de conciliación, de las cuales 348 llegaron a acuerdo conciliatorio lo que significa un porcentaje del 58% superando la meta en un 8%.
Entre los 252 casos en los que no hubo acuerdo conciliatorio, 98 corresponden a NO ACUERDO, siendo el restante distribuidos entre inasistencias, desistimientos y pendientes por realizar audiencia en el mes de enero 2023.</t>
        </r>
      </text>
    </comment>
    <comment ref="E142" authorId="1" shapeId="0">
      <text>
        <r>
          <rPr>
            <b/>
            <sz val="9"/>
            <color indexed="81"/>
            <rFont val="Tahoma"/>
            <family val="2"/>
          </rPr>
          <t>Gloria A. Sanchez M.:</t>
        </r>
        <r>
          <rPr>
            <sz val="9"/>
            <color indexed="81"/>
            <rFont val="Tahoma"/>
            <family val="2"/>
          </rPr>
          <t xml:space="preserve">
En primer semestre del año 2022 se programaron 43 eventos entre las 4 Facultades y se logro la ejecución de 42 eventos en su totalidad, con un porcentaje de cumplimiento del 97,7%, con una población impactada de 3.483 personas entre estudiantes, docentes, egresados y público en general. Las modalidades de la oferta en forma solidaria y pecuniaria han sido presenciales y asistidas por la TIC.</t>
        </r>
      </text>
    </comment>
    <comment ref="K142" authorId="1" shapeId="0">
      <text>
        <r>
          <rPr>
            <b/>
            <sz val="9"/>
            <color indexed="81"/>
            <rFont val="Tahoma"/>
            <family val="2"/>
          </rPr>
          <t>Gloria A. Sanchez M.:</t>
        </r>
        <r>
          <rPr>
            <sz val="9"/>
            <color indexed="81"/>
            <rFont val="Tahoma"/>
            <family val="2"/>
          </rPr>
          <t xml:space="preserve">
En el segundo semestre del año 2022 se programaron 50 eventos entre las 4 Facultades y se logro la ejecución de 46 eventos en su totalidad (Diplomados 2; cursos 2; talleres 2; seminarios, simposios y/o congresos 21 y otros 19), con un porcentaje de cumplimiento del 92%, con una población impactada de 6.185 personas entre estudiantes, docentes, egresados y público en general. Las modalidades de la oferta en forma solidaria y pecuniaria han sido presenciales y asistidas por las TIC.</t>
        </r>
      </text>
    </comment>
    <comment ref="E143" authorId="1" shapeId="0">
      <text>
        <r>
          <rPr>
            <b/>
            <sz val="9"/>
            <color indexed="81"/>
            <rFont val="Tahoma"/>
            <family val="2"/>
          </rPr>
          <t>Gloria A. Sanchez M.:</t>
        </r>
        <r>
          <rPr>
            <sz val="9"/>
            <color indexed="81"/>
            <rFont val="Tahoma"/>
            <family val="2"/>
          </rPr>
          <t xml:space="preserve">
Durante el primer semestre del 2022, el número total de casos atendidos por el centro de conciliación fue de 325 frente a 350 casos proyectados o esperados. Del total de casos atendidos 39 corresponden a solicitudes remitidas por el ICBF como resultado de una brigada realizada con ellos logrando contribuir a descongestionar el Instituto. Las demás correponden a las solicitudes realizadas por los estudiantes practicantes, cumpliendose la meta en un 92,86%</t>
        </r>
      </text>
    </comment>
    <comment ref="K143" authorId="1" shapeId="0">
      <text>
        <r>
          <rPr>
            <b/>
            <sz val="9"/>
            <color indexed="81"/>
            <rFont val="Tahoma"/>
            <family val="2"/>
          </rPr>
          <t>Gloria A. Sanchez M.:</t>
        </r>
        <r>
          <rPr>
            <sz val="9"/>
            <color indexed="81"/>
            <rFont val="Tahoma"/>
            <family val="2"/>
          </rPr>
          <t xml:space="preserve">
De Julio a Diciembre de 2022 se atendieron 275 casos de los 200 que se tenían proyecados. De la anterior cifra, 42 corresponden a solicitudes remitidas por el ICBF resultado de 3 jornadas masivas de conciliación organizadas por el Centro de Conciliación, con la finalidad de contribuir a descongestionar dicha institución. Superando la meta en un 137.50%
</t>
        </r>
      </text>
    </comment>
    <comment ref="E144" authorId="1" shapeId="0">
      <text>
        <r>
          <rPr>
            <b/>
            <sz val="9"/>
            <color indexed="81"/>
            <rFont val="Tahoma"/>
            <family val="2"/>
          </rPr>
          <t>Gloria A. Sanchez M.:</t>
        </r>
        <r>
          <rPr>
            <sz val="9"/>
            <color indexed="81"/>
            <rFont val="Tahoma"/>
            <family val="2"/>
          </rPr>
          <t xml:space="preserve">
En el primer semestre se presentaron 2 solicitudes a través de las PQRSD registradas en Kawak para el Consultorio Jurídico y Centro de Conciliación, las cuales se respondieron oportunamente a los usuarios dando la orientación requerida.</t>
        </r>
      </text>
    </comment>
    <comment ref="K144" authorId="1" shapeId="0">
      <text>
        <r>
          <rPr>
            <b/>
            <sz val="9"/>
            <color indexed="81"/>
            <rFont val="Tahoma"/>
            <family val="2"/>
          </rPr>
          <t>Gloria A. Sanchez M.:</t>
        </r>
        <r>
          <rPr>
            <sz val="9"/>
            <color indexed="81"/>
            <rFont val="Tahoma"/>
            <family val="2"/>
          </rPr>
          <t xml:space="preserve">
En el segundo semestre se presentaron 4 solicitudes a través de las PQRSD registradas en Kawak para el Consultorio Jurídico y Centro de Conciliación, las cuales se respondieron oportunamente a los usuarios dando la orientación requerida</t>
        </r>
      </text>
    </comment>
    <comment ref="E145" authorId="1" shapeId="0">
      <text>
        <r>
          <rPr>
            <b/>
            <sz val="9"/>
            <color indexed="81"/>
            <rFont val="Tahoma"/>
            <family val="2"/>
          </rPr>
          <t>Gloria A. Sanchez M.:</t>
        </r>
        <r>
          <rPr>
            <sz val="9"/>
            <color indexed="81"/>
            <rFont val="Tahoma"/>
            <family val="2"/>
          </rPr>
          <t xml:space="preserve">
Durante el primer semestre de 2022, 204 usuarios calificaron el servicio con un porcentaje de satisfacción del 95,10% de lo cuales 194 fueron evaluaciones entre excelente y bueno, 10 estuvieron entre regular y malo. Es importante aclarar que el total de solicitudes atendidas en el primer semestre del año en el Centro de Conciliación del Consultorio Jurídico fue de 325 usuarios; dichas calificaciones del servicio corresponden tanto al Consultorio Jurídico como al Centro de Conciliación. Las observaciones que los usuarios describen en las calificaciones fueron socializadas con los estudiantes-practicantes y docentes para su retroalimentación.
</t>
        </r>
      </text>
    </comment>
    <comment ref="K145" authorId="1" shapeId="0">
      <text>
        <r>
          <rPr>
            <b/>
            <sz val="9"/>
            <color indexed="81"/>
            <rFont val="Tahoma"/>
            <family val="2"/>
          </rPr>
          <t>Gloria A. Sanchez M.:</t>
        </r>
        <r>
          <rPr>
            <sz val="9"/>
            <color indexed="81"/>
            <rFont val="Tahoma"/>
            <family val="2"/>
          </rPr>
          <t xml:space="preserve">
Durante el segundo semestre de 2022, 206 usuarios calificaron el servicio con un porcentaje de satisfacción del 93,69% de lo cuales 193 fueron evaluaciones entre excelente y bueno, 13 estuvieron entre regular y malo.
Es necesario resaltar que las calificaciones del servicio corresponden tanto al Consultorio Jurídico como Centro de Conciliación. Las observaciones que los usuarios describen en las calificaciones fueron socializadas con los estudiantes-practicantes y docentes para su retroalimentación.</t>
        </r>
      </text>
    </comment>
    <comment ref="E146" authorId="1" shapeId="0">
      <text>
        <r>
          <rPr>
            <b/>
            <sz val="9"/>
            <color indexed="81"/>
            <rFont val="Tahoma"/>
            <family val="2"/>
          </rPr>
          <t>Gloria A. Sanchez M.:</t>
        </r>
        <r>
          <rPr>
            <sz val="9"/>
            <color indexed="81"/>
            <rFont val="Tahoma"/>
            <family val="2"/>
          </rPr>
          <t xml:space="preserve">
Para el primer semestre del 2022, se programaron y realizaron 4 brigadas sociojuridicas.
1. AMCOVE-municipio de Santa Rosa de Cabal, donde se brindó asistencia jurídica a los migrantes venezolanos,asistieron un total de 68 usuarios.
2. AMCOVE-municipio de Dosquebradas, donde tambiés se brindó asistencia jurídica a los migrantes venezolanos, asistieron 100 personas.
3 y 4. Jornada Masiva de conciliación como apoyo a las solicitudes recibidas por el Instituto Colombiano de Bienestar Familiar, en total se recibieron 39 solicitudes de conciliación, audiencias que se realizaron los días 26, 27 de mayo, 2 y 3 de junio.</t>
        </r>
      </text>
    </comment>
    <comment ref="K146" authorId="1" shapeId="0">
      <text>
        <r>
          <rPr>
            <b/>
            <sz val="9"/>
            <color indexed="81"/>
            <rFont val="Tahoma"/>
            <family val="2"/>
          </rPr>
          <t>Gloria A. Sanchez M.:</t>
        </r>
        <r>
          <rPr>
            <sz val="9"/>
            <color indexed="81"/>
            <rFont val="Tahoma"/>
            <family val="2"/>
          </rPr>
          <t xml:space="preserve">
En el segundo semestre del año 2022 se realizaron 8 brigadas y 3 jornadas masivas de conciliación discriminadas de la siguiente manera;
1. Municipio de Dosquebradas en donde se atendieron 13 personas.
2. AMCOVE con una atención de 5 usuarios
3. Municipio de Quinchia; 18 personas.
4. Barrio El Dorado-Pereira se recepcionaron 5 asesorias.
5. Municipio de Mistrato se atendieron 40 personas.
6. Barrio Remanso-Pereira 5 usuarios atendidos
7. Escuela La Palabra-Pereira 10 asesorias realizadas.
8. Municipio Anserma Nuevo con apoyo del Ingenio Risaralda, 11 casos atendidos.
9. Recepción de 44 solicitudes de conciliación por parte de Bienestar Familiar, los días 16 de agosto, 8 de septiembre y 30 de noviembre de 2022.</t>
        </r>
      </text>
    </comment>
    <comment ref="E147" authorId="1" shapeId="0">
      <text>
        <r>
          <rPr>
            <b/>
            <sz val="9"/>
            <color indexed="81"/>
            <rFont val="Tahoma"/>
            <family val="2"/>
          </rPr>
          <t>Gloria A. Sanchez M.:</t>
        </r>
        <r>
          <rPr>
            <sz val="9"/>
            <color indexed="81"/>
            <rFont val="Tahoma"/>
            <family val="2"/>
          </rPr>
          <t xml:space="preserve">
La eficacia del SGC en la Seccional Pereira durante el año 2022 fue del 90,67%,  El cumplimiento de los objetivos de calidad para el año 2022 fue en promedio del 92,00% (2022-1: 91,72%  y para el segundo semestre de 2022 se logró un resultado del 92,70%) ;  la ponderación que se dió para el primer objetivo de calidad  fue de 60% para encuesta (81,00% de cumplimiento), 20% quejas (2022-1: 100%  y 2022-2 100%%)  y 20% para calificaciones del servicio (2022-1: 97,28%  y 2022-2:  96,94%).  Para el objetivo 2 de acuerdos de servicio, la ponderación fue del 30% (2022-1: 88,89%  y 2022-2 96,94%) y el objtivo 3 indicadores de eficacia la ponderación fue del 30% (2022-1: 93,57%  y 2022-2: 94,83%). Comparativo resultados de eficacia del SGC de los períodos comprendidos entre el  2006-1 hasta el 2022:
2006-2   2007-1    2007-2      2008-1     2008-2        2009-1      2010-1     2010-2      2011-1     2011-2     2012-1      2012-2    2013-1      2013-2   2014-1      2014-2                 
  46%          50%          68%         73%              71%               74,6%        58%        74%              2,6%        2,6%        2,2%         2,3%         2,4%          2,4%       2,4%          2,3%
2015-1      2015-2    2016-1         2016-2     2017-1     2017-2     2018-1      2018-2   2019-1     2019-2       2020-1      2020-2     2021-1      2021-2          2022-1      2022-2
 2,4%          2,3%        2,2%            3%             92%          86%          86%         89%        86,77%     91,11%        84,93%      90,70%     89,96%    87,84%            89,96%     92,72%</t>
        </r>
      </text>
    </comment>
  </commentList>
</comments>
</file>

<file path=xl/comments3.xml><?xml version="1.0" encoding="utf-8"?>
<comments xmlns="http://schemas.openxmlformats.org/spreadsheetml/2006/main">
  <authors>
    <author>Docente</author>
  </authors>
  <commentList>
    <comment ref="K4" authorId="0" shapeId="0">
      <text>
        <r>
          <rPr>
            <b/>
            <sz val="9"/>
            <color indexed="81"/>
            <rFont val="Tahoma"/>
            <family val="2"/>
          </rPr>
          <t>Docente:</t>
        </r>
        <r>
          <rPr>
            <sz val="9"/>
            <color indexed="81"/>
            <rFont val="Tahoma"/>
            <family val="2"/>
          </rPr>
          <t xml:space="preserve">
9 de mayo de 2019 a 30 de septiembre de 2019 </t>
        </r>
      </text>
    </comment>
    <comment ref="L4" authorId="0" shapeId="0">
      <text>
        <r>
          <rPr>
            <b/>
            <sz val="9"/>
            <color indexed="81"/>
            <rFont val="Tahoma"/>
            <family val="2"/>
          </rPr>
          <t>Docente:</t>
        </r>
        <r>
          <rPr>
            <sz val="9"/>
            <color indexed="81"/>
            <rFont val="Tahoma"/>
            <family val="2"/>
          </rPr>
          <t xml:space="preserve">
9 de mayo de 2019 a 30 de septiembre de 2019 </t>
        </r>
      </text>
    </comment>
  </commentList>
</comments>
</file>

<file path=xl/comments4.xml><?xml version="1.0" encoding="utf-8"?>
<comments xmlns="http://schemas.openxmlformats.org/spreadsheetml/2006/main">
  <authors>
    <author>Calidad Gloria Amparo Sanchez</author>
    <author>Gloria A. Sanchez M.</author>
  </authors>
  <commentList>
    <comment ref="E19" authorId="0" shapeId="0">
      <text>
        <r>
          <rPr>
            <b/>
            <sz val="9"/>
            <color indexed="81"/>
            <rFont val="Tahoma"/>
            <family val="2"/>
          </rPr>
          <t>Calidad Gloria Amparo Sanchez:</t>
        </r>
        <r>
          <rPr>
            <sz val="9"/>
            <color indexed="81"/>
            <rFont val="Tahoma"/>
            <family val="2"/>
          </rPr>
          <t xml:space="preserve">
A septiembre 25.2015</t>
        </r>
      </text>
    </comment>
    <comment ref="C25" authorId="1" shapeId="0">
      <text>
        <r>
          <rPr>
            <b/>
            <sz val="9"/>
            <color indexed="81"/>
            <rFont val="Tahoma"/>
            <family val="2"/>
          </rPr>
          <t>Gloria A. Sanchez M.:</t>
        </r>
        <r>
          <rPr>
            <sz val="9"/>
            <color indexed="81"/>
            <rFont val="Tahoma"/>
            <family val="2"/>
          </rPr>
          <t xml:space="preserve">
4,69
</t>
        </r>
      </text>
    </comment>
    <comment ref="E25" authorId="1" shapeId="0">
      <text>
        <r>
          <rPr>
            <b/>
            <sz val="9"/>
            <color indexed="81"/>
            <rFont val="Tahoma"/>
            <family val="2"/>
          </rPr>
          <t>Gloria A. Sanchez M.:</t>
        </r>
        <r>
          <rPr>
            <sz val="9"/>
            <color indexed="81"/>
            <rFont val="Tahoma"/>
            <family val="2"/>
          </rPr>
          <t xml:space="preserve">
4,52</t>
        </r>
      </text>
    </comment>
    <comment ref="C26" authorId="1" shapeId="0">
      <text>
        <r>
          <rPr>
            <b/>
            <sz val="9"/>
            <color indexed="81"/>
            <rFont val="Tahoma"/>
            <family val="2"/>
          </rPr>
          <t>Gloria A. Sanchez M.:</t>
        </r>
        <r>
          <rPr>
            <sz val="9"/>
            <color indexed="81"/>
            <rFont val="Tahoma"/>
            <family val="2"/>
          </rPr>
          <t xml:space="preserve">
4,80</t>
        </r>
      </text>
    </comment>
    <comment ref="E26" authorId="1" shapeId="0">
      <text>
        <r>
          <rPr>
            <b/>
            <sz val="9"/>
            <color indexed="81"/>
            <rFont val="Tahoma"/>
            <family val="2"/>
          </rPr>
          <t>Gloria A. Sanchez M.:</t>
        </r>
        <r>
          <rPr>
            <sz val="9"/>
            <color indexed="81"/>
            <rFont val="Tahoma"/>
            <family val="2"/>
          </rPr>
          <t xml:space="preserve">
4,51</t>
        </r>
      </text>
    </comment>
    <comment ref="B27" authorId="1" shapeId="0">
      <text>
        <r>
          <rPr>
            <b/>
            <sz val="9"/>
            <color indexed="81"/>
            <rFont val="Tahoma"/>
            <family val="2"/>
          </rPr>
          <t>Gloria A. Sanchez M.:</t>
        </r>
        <r>
          <rPr>
            <sz val="9"/>
            <color indexed="81"/>
            <rFont val="Tahoma"/>
            <family val="2"/>
          </rPr>
          <t xml:space="preserve">
Incluye 69 realizadas por la página web</t>
        </r>
      </text>
    </comment>
    <comment ref="D27" authorId="1" shapeId="0">
      <text>
        <r>
          <rPr>
            <b/>
            <sz val="9"/>
            <color indexed="81"/>
            <rFont val="Tahoma"/>
            <family val="2"/>
          </rPr>
          <t>Gloria A. Sanchez M.:</t>
        </r>
        <r>
          <rPr>
            <sz val="9"/>
            <color indexed="81"/>
            <rFont val="Tahoma"/>
            <family val="2"/>
          </rPr>
          <t xml:space="preserve">
Calificación del servicio a través de la mesa de ayuda
</t>
        </r>
      </text>
    </comment>
  </commentList>
</comments>
</file>

<file path=xl/comments5.xml><?xml version="1.0" encoding="utf-8"?>
<comments xmlns="http://schemas.openxmlformats.org/spreadsheetml/2006/main">
  <authors>
    <author>Docente</author>
    <author>Gloria A. Sanchez M.</author>
  </authors>
  <commentList>
    <comment ref="L3" authorId="0" shapeId="0">
      <text>
        <r>
          <rPr>
            <b/>
            <sz val="9"/>
            <color indexed="81"/>
            <rFont val="Tahoma"/>
            <family val="2"/>
          </rPr>
          <t xml:space="preserve">DOCENCIA 
DOCENCIA 
* Faculta de Derecho Ciencias Políticas y Sociales
</t>
        </r>
        <r>
          <rPr>
            <sz val="9"/>
            <color indexed="81"/>
            <rFont val="Tahoma"/>
            <family val="2"/>
          </rPr>
          <t xml:space="preserve">1. Aclaración de nota
2. Solicitud de documentación enviada para el proceso de homologación optativa IV de quinto año de derecho
3. SOLICITUD DE SITUACION ACADEMICA Y PLAN DE TRABAJO
4. Reitero de solicitud de autorización para realizar posgrado como opción de grado
5. Autorización para ver módulo de control de legalidad que debo aprobar, como prerrequisito para optar al grado de especialista en Derecho urbano gestión y planeamientos inmobiliarios
6. Docente no garantiza el derecho a presentar un parcial teniendo un problema médico 
7. Docente no garantiza el derecho a presentar un parcial teniendo un problema médico 
8. Solicitud de información de preparatorios
9. Solicitud de información opciones de grado
10. Felicitaciones al Doctor Nicolás Alberto Mejía
11. Derecho de petición a fin de validar los requisitos de grado; certificación segunda lengua programa de Derecho
12. Me he pasado varios momentos insistiendo la contestación de una llamada y ha sido fracasado el intento. Por eso de manera respetuosa le solicitó a quien corresponda que no dejes la costumbre de la comunicación vía telefónica es la más asertiva da más celeridad en los procesos y para los usuarios es mayor y mejor la claridad la información.
13. Requisito 2a. Lengua JACKSON ALEJANDRO PELAEZ CASTAÑEDA. Maestría en Derecho Penal
14. Solicitud programa de formación continuada (Diplomado en conciliación y en Docencia universitaria para monitores – programa de Derecho)
15 Manifestacion de agradecimiento
16. Derecho de petición:  Solicitud de corrección de nota con profesor diferente al que dio la materia
</t>
        </r>
        <r>
          <rPr>
            <b/>
            <sz val="9"/>
            <color indexed="81"/>
            <rFont val="Tahoma"/>
            <family val="2"/>
          </rPr>
          <t xml:space="preserve">
* Facultad de Ciencias de la Salud, Exactas y Naturales
</t>
        </r>
        <r>
          <rPr>
            <sz val="9"/>
            <color indexed="81"/>
            <rFont val="Tahoma"/>
            <family val="2"/>
          </rPr>
          <t xml:space="preserve">17. Queja por demora Ingreso al sistema de información dosis refuerzo Mi Vacuna
18. Demora en Certificado de prácticas programa de Enfermería
19. Ausencia de una opción dentro de la pagina (Microcurrículos)
20. Queja por que no la han dado información sobre revisión carga dosis de vacunación
</t>
        </r>
        <r>
          <rPr>
            <b/>
            <sz val="9"/>
            <color indexed="81"/>
            <rFont val="Tahoma"/>
            <family val="2"/>
          </rPr>
          <t>* Facultad de Ciencias Económicas, administrativas y contables</t>
        </r>
        <r>
          <rPr>
            <sz val="9"/>
            <color indexed="81"/>
            <rFont val="Tahoma"/>
            <family val="2"/>
          </rPr>
          <t xml:space="preserve">
21. Revision traslado sin respuesta desde el 27 de mayo (Administración de empresas)
</t>
        </r>
        <r>
          <rPr>
            <b/>
            <sz val="9"/>
            <color indexed="81"/>
            <rFont val="Tahoma"/>
            <family val="2"/>
          </rPr>
          <t>Facultad de Ingenierías</t>
        </r>
        <r>
          <rPr>
            <sz val="9"/>
            <color indexed="81"/>
            <rFont val="Tahoma"/>
            <family val="2"/>
          </rPr>
          <t xml:space="preserve">
22 Denuncia  contra el profesor  CESAR AUGUSTO GIRALDO, del programa ingeniería civil Seccional Pereira, por la constancia de abusos
23. D. Petición :  Solicitud entrega de documentos del Dr. Eduardo Humberto Sanz Gutiérrez para proceso investigativo
24. No ha recibido respuesta de la denuncia  contra el profesor  CESAR AUGUSTO GIRALDO, del programa ingeniería civil Seccional Pereira, por la constancia de abusos
</t>
        </r>
        <r>
          <rPr>
            <b/>
            <sz val="9"/>
            <color indexed="81"/>
            <rFont val="Tahoma"/>
            <family val="2"/>
          </rPr>
          <t xml:space="preserve">
* Esp Derecho del trabajo pensiones y riesgos laborales
25</t>
        </r>
        <r>
          <rPr>
            <sz val="9"/>
            <color indexed="81"/>
            <rFont val="Tahoma"/>
            <family val="2"/>
          </rPr>
          <t>. Felicitaciones director programa especialización derecho del trabajo pensiones y riesgos laborales</t>
        </r>
        <r>
          <rPr>
            <b/>
            <sz val="9"/>
            <color indexed="81"/>
            <rFont val="Tahoma"/>
            <family val="2"/>
          </rPr>
          <t xml:space="preserve">
* Esp.  Derecho Urbano, Gestión y planeamientos inmobiliarios
26</t>
        </r>
        <r>
          <rPr>
            <sz val="9"/>
            <color indexed="81"/>
            <rFont val="Tahoma"/>
            <family val="2"/>
          </rPr>
          <t xml:space="preserve">. Petición alternativas asistencia clases Esp.  Derecho Urbano, Gestión y planeamientos inmobiliarios
</t>
        </r>
        <r>
          <rPr>
            <b/>
            <sz val="9"/>
            <color indexed="81"/>
            <rFont val="Tahoma"/>
            <family val="2"/>
          </rPr>
          <t>* Especialización de derecho procesal probatorio y oralidad</t>
        </r>
        <r>
          <rPr>
            <sz val="9"/>
            <color indexed="81"/>
            <rFont val="Tahoma"/>
            <family val="2"/>
          </rPr>
          <t xml:space="preserve">
27. Queja contra Angela María Henao Mejía - especialización de derecho procesal probatorio y oralidad cohorte 11
</t>
        </r>
        <r>
          <rPr>
            <b/>
            <sz val="10"/>
            <color indexed="81"/>
            <rFont val="Tahoma"/>
            <family val="2"/>
          </rPr>
          <t>* Maestria en Derecho adminstrativo:</t>
        </r>
        <r>
          <rPr>
            <sz val="9"/>
            <color indexed="81"/>
            <rFont val="Tahoma"/>
            <family val="2"/>
          </rPr>
          <t xml:space="preserve">
28. Solicitud de programación de módulo y fecha de grado</t>
        </r>
      </text>
    </comment>
    <comment ref="M3" authorId="1" shapeId="0">
      <text>
        <r>
          <rPr>
            <b/>
            <sz val="9"/>
            <color indexed="81"/>
            <rFont val="Tahoma"/>
            <family val="2"/>
          </rPr>
          <t>Gloria A. Sanchez M.:</t>
        </r>
        <r>
          <rPr>
            <sz val="9"/>
            <color indexed="81"/>
            <rFont val="Tahoma"/>
            <family val="2"/>
          </rPr>
          <t xml:space="preserve">
INVESTIGACIONES
* Solicitud de Investigación y propuesta de Proyecto de Ley:  Pérdida de bienes raíces a causa de la violencia armada y las guerras
* Derecho de petición: Solicitud información frente a la convocatoria joven investigador
• Derecho de petición -Solicitud de evaluaciones docentes 2020 al 2022 y reconocimiento por clasificación como investigador (Facultad de Ciencias Económicas, administrativas y contables)
• Derecho de petición - Solicitud información sobre convocatoria de jovénes investigadores 2021 
</t>
        </r>
      </text>
    </comment>
    <comment ref="N3" authorId="1" shapeId="0">
      <text>
        <r>
          <rPr>
            <b/>
            <sz val="9"/>
            <color indexed="81"/>
            <rFont val="Tahoma"/>
            <family val="2"/>
          </rPr>
          <t>Gloria A. Sanchez M.:</t>
        </r>
        <r>
          <rPr>
            <sz val="9"/>
            <color indexed="81"/>
            <rFont val="Tahoma"/>
            <family val="2"/>
          </rPr>
          <t xml:space="preserve">
Solicitud de intercambio académico en la Universidad Autónoma de Chiapas- Programa de trabajo social</t>
        </r>
      </text>
    </comment>
    <comment ref="O3" authorId="0" shapeId="0">
      <text>
        <r>
          <rPr>
            <b/>
            <sz val="9"/>
            <color indexed="81"/>
            <rFont val="Tahoma"/>
            <family val="2"/>
          </rPr>
          <t>Docente:</t>
        </r>
        <r>
          <rPr>
            <sz val="9"/>
            <color indexed="81"/>
            <rFont val="Tahoma"/>
            <family val="2"/>
          </rPr>
          <t xml:space="preserve">
PROYECCIÓN SOCIAL
</t>
        </r>
        <r>
          <rPr>
            <b/>
            <sz val="9"/>
            <color indexed="81"/>
            <rFont val="Tahoma"/>
            <family val="2"/>
          </rPr>
          <t>* Consultorio Jurídico y centro de conciliación</t>
        </r>
        <r>
          <rPr>
            <sz val="9"/>
            <color indexed="81"/>
            <rFont val="Tahoma"/>
            <family val="2"/>
          </rPr>
          <t xml:space="preserve">
1. Solicitud de asesoría jurídica y psicológica
2. Necesito me recomiende un Abogado Penalista. He sido estafada mediante Tarjeta de Crédito.
3. Derecho de petición: Desde hace tiempo atrás solicite en medió en consultorio Jurídico para quee ayudará en temas relacionados en interpone una RECURSO DE acción de Tutela y nunca se comunicaron conmigo
4. Solicitud de información sobre  relación de todos y cada uno de los estudiantes de la
universidad libre de la ciudad de Pereira que hicieron consultorio jurídico, en la vigencia
2019, y a los que les fue autorizado o avalado la práctica al interior del Establecimiento
Penitenciario de Mediana Seguridad y Carcelario de SANTA ROSA DE CAVAL como
requisito de grado para obtener el título de abogado
5. Queja para la estudiante Consultorio Jurídico Aixa Daniela Toro Valencia.</t>
        </r>
      </text>
    </comment>
    <comment ref="P3" authorId="0" shapeId="0">
      <text>
        <r>
          <rPr>
            <b/>
            <sz val="9"/>
            <color indexed="81"/>
            <rFont val="Tahoma"/>
            <family val="2"/>
          </rPr>
          <t>Docente:</t>
        </r>
        <r>
          <rPr>
            <sz val="9"/>
            <color indexed="81"/>
            <rFont val="Tahoma"/>
            <family val="2"/>
          </rPr>
          <t xml:space="preserve">
BIENESTAR UNIVERSITARIO
1. Solicitud información Proyecto Circulo virtuoso (Bolsa de empleo)
2. D.P.  para modificación horario o extender del gimnasio (Enfermería)
3. D.P.  para modificación horario o extender del gimnasio (Ing Civil)
4. D.P.  para modificación horario o extender del gimnasio (Ing Comercial)
5. D.P.  para modificación horario o extender del gimnasio (Ing Civil)
6. D.P.  para modificación horario o extender del gimnasio (Ing Civil)
7. D.P.  para modificación horario o extender del gimnasio (Ing Civil)
8. D.P.  para modificación horario o extender del gimnasio (Derecho)
9. D.P.  para modificación horario o extender del gimnasio (Ing Civil)
10. D.P.  para modificación horario o extender del gimnasio (Ing Civil)
11. D.P.  para modificación horario o extender del gimnasio (Ing Civil)
12. D.P.  para modificación horario o extender del gimnasio (Ing Civil)
13. Derecho de petición para modificación horario o extender del gimnasio (Ing Civil)
14. D.P.  para modificación horario o extender del gimnasio (Ing Civil)
15. D.P.  para modificación horario o extender del gimnasio (Ing Civil)
16. Requerimiento Ampliación de horario del gimnasio -  Facultad de Ciencias económicas, administrativas y contables
17. Sugerencia acciones de mejora: Cafeteria, baños, parqueadero
18. Queja y solicitud habilitación de Cafetería edificios posgrados - Especialización en Derecho Procesal
19. Precios altos  de la Cafetería - Estudiante de Ing. Comercial
20. Solicitud Cafetería  en posgrados - Especialización Laboral , Pensiones y Riesgos
21.  Solicitud Cafetería  en posgrados - Especialización en  SEGURIDAD Y SALUD EN EL TRABAJO Y GERENCIA CONTROL DE RIESGOS
22 -23. Solicitud información de asistencia a inducción estudiantes de Lucy Yvone Benavides
24. Area de Egresados:  Queja no entrega carnet de egresado del programa de Derecho
25. Solicitud de información  Bolsa de empleo
26 - 27 - 28- 29 - 30 - 31 - 32. Queja servicio de cafetería en  Posgrados - Especialización en Seguridad y Salud en el trabajo</t>
        </r>
      </text>
    </comment>
    <comment ref="Q3" authorId="0" shapeId="0">
      <text>
        <r>
          <rPr>
            <b/>
            <sz val="9"/>
            <color indexed="81"/>
            <rFont val="Tahoma"/>
            <family val="2"/>
          </rPr>
          <t>Docente:</t>
        </r>
        <r>
          <rPr>
            <sz val="9"/>
            <color indexed="81"/>
            <rFont val="Tahoma"/>
            <family val="2"/>
          </rPr>
          <t xml:space="preserve">
GESTIÓN HUMANA
1. D.P. Solicitud copia de expediente (Enviado por correo electrónico)
2. D.P. Solicitud de certificación electrónicos de tiempos laborados (Enviado por correo electrónico)
3. Derecho de petición semanas aportadas al sistema pensional
</t>
        </r>
      </text>
    </comment>
    <comment ref="R3" authorId="1" shapeId="0">
      <text>
        <r>
          <rPr>
            <b/>
            <sz val="9"/>
            <color indexed="81"/>
            <rFont val="Tahoma"/>
            <family val="2"/>
          </rPr>
          <t>Gloria A. Sanchez M.:</t>
        </r>
        <r>
          <rPr>
            <sz val="9"/>
            <color indexed="81"/>
            <rFont val="Tahoma"/>
            <family val="2"/>
          </rPr>
          <t xml:space="preserve">
1. La tesorería no realizó el trabajo pertinente con el ICETEX(Derecho semestralizado)
2. Reclamo Beca
</t>
        </r>
      </text>
    </comment>
    <comment ref="S3" authorId="0" shapeId="0">
      <text>
        <r>
          <rPr>
            <b/>
            <sz val="9"/>
            <color indexed="81"/>
            <rFont val="Tahoma"/>
            <family val="2"/>
          </rPr>
          <t>Docente:</t>
        </r>
        <r>
          <rPr>
            <sz val="9"/>
            <color indexed="81"/>
            <rFont val="Tahoma"/>
            <family val="2"/>
          </rPr>
          <t xml:space="preserve">
</t>
        </r>
        <r>
          <rPr>
            <b/>
            <sz val="9"/>
            <color indexed="81"/>
            <rFont val="Tahoma"/>
            <family val="2"/>
          </rPr>
          <t>GESTIÓN DE ADMISIONES Y REGISTROS</t>
        </r>
        <r>
          <rPr>
            <sz val="9"/>
            <color indexed="81"/>
            <rFont val="Tahoma"/>
            <family val="2"/>
          </rPr>
          <t xml:space="preserve">
• Queja por Inconveniente de inscripción
• Queja por Demora en la entrega o envió de contenidos de materias solicitados
• Solicitud información Verificación de título
* Solicitud de información para solicitar  siguientes documentos que requiere por tramite que debo realizar para viaje al extranjero
* Solicitud de validación de acta de grado  Especialista en salud ocupacional, gerencia y control de riesgos
• Mi inscripción no deja culminarla especialización en derecho procesal 
*  No se me dejó inscribir materias de manera oportuna (Derecho semestralizado)
* Requisito 2a. Lengua  JACKSON ALEJANDRO PELAEZ CASTAÑEDA. Maestría en Derecho Penal
* Solicitud de Certificación de reporte del grado ante el Ministerio de Educación Nacional
* Revisión y ayuda para envío certificado - Programa de Enfermería
</t>
        </r>
      </text>
    </comment>
    <comment ref="T3" authorId="0" shapeId="0">
      <text>
        <r>
          <rPr>
            <b/>
            <sz val="9"/>
            <color indexed="81"/>
            <rFont val="Tahoma"/>
            <family val="2"/>
          </rPr>
          <t>Docente:</t>
        </r>
        <r>
          <rPr>
            <sz val="9"/>
            <color indexed="81"/>
            <rFont val="Tahoma"/>
            <family val="2"/>
          </rPr>
          <t xml:space="preserve">
GESTIÓN DE INFORMÁTICA
1. Queja por no alistamiento de equipo y demora en el inicio del portátil
2. Queja por correos peligrosos
3. Problemas de autenticación correo institucional</t>
        </r>
      </text>
    </comment>
    <comment ref="U3" authorId="0" shapeId="0">
      <text>
        <r>
          <rPr>
            <b/>
            <sz val="9"/>
            <color indexed="81"/>
            <rFont val="Tahoma"/>
            <family val="2"/>
          </rPr>
          <t>Docente:</t>
        </r>
        <r>
          <rPr>
            <sz val="9"/>
            <color indexed="81"/>
            <rFont val="Tahoma"/>
            <family val="2"/>
          </rPr>
          <t xml:space="preserve">
GESTIÓN DE SERVICIOS GENERALES
• Queja por falta de techo peatonal sede Belmonte
* Mantenimiento por goteo en salón 301 de posgrados
* Solicitud de mesa de bebidas en aula de postgrado Alta Gerencia
* Petición instalación techo: Adecuar el camino desde la portería de Belmonte hasta el bloque de laboratorio
* Petición instalación techo: techo que cubra nuestro paso desde la entrada principal de Belmonte hasta el bloque C.
* (6) Falta de aire acondicionado en la Biblioteca - Ingenieria civil 
* Iluminarias malas en la Biblioteca de la sede Belmonte 
* (3) Iluminarias malas en la Biblioteca de la sede Belmonte - Estudiante de ingeniería civil 
* Solicitud de habilitación de parqueaderos de automóviles sede centro
* Solicitud cargadores eléctricos para bicicletas eléctricas - Ing. Financiera</t>
        </r>
      </text>
    </comment>
    <comment ref="Y3" authorId="1" shapeId="0">
      <text>
        <r>
          <rPr>
            <b/>
            <sz val="9"/>
            <color indexed="81"/>
            <rFont val="Tahoma"/>
            <family val="2"/>
          </rPr>
          <t>Gloria A. Sanchez M.:</t>
        </r>
        <r>
          <rPr>
            <sz val="9"/>
            <color indexed="81"/>
            <rFont val="Tahoma"/>
            <family val="2"/>
          </rPr>
          <t xml:space="preserve">
Comodidades biblioteca</t>
        </r>
      </text>
    </comment>
    <comment ref="Z3" authorId="1" shapeId="0">
      <text>
        <r>
          <rPr>
            <b/>
            <sz val="9"/>
            <color indexed="81"/>
            <rFont val="Tahoma"/>
            <family val="2"/>
          </rPr>
          <t>Gloria A. Sanchez M.:</t>
        </r>
        <r>
          <rPr>
            <sz val="9"/>
            <color indexed="81"/>
            <rFont val="Tahoma"/>
            <family val="2"/>
          </rPr>
          <t xml:space="preserve">
DIRECCIÓN ESTRATÉGICA
* 1. D.P. Solicitud de información sobre costo de servicios contratados
*  Invitación al “1er foro DIVERSIDAD como motor del desarrollo turístico de la región"
* Solicitud beca
* D.P. Articulo 23 CP: Solicitud información sobre contrato de mantenimiento arreglos Biblioteca - Sede Centro
* D.P. Solicitud de informacion de Eco ciudadano  sobre el manejo del acoso en la Unilibre</t>
        </r>
      </text>
    </comment>
    <comment ref="Z9" authorId="0" shapeId="0">
      <text>
        <r>
          <rPr>
            <b/>
            <sz val="9"/>
            <color indexed="81"/>
            <rFont val="Tahoma"/>
            <family val="2"/>
          </rPr>
          <t>Docente:</t>
        </r>
        <r>
          <rPr>
            <sz val="9"/>
            <color indexed="81"/>
            <rFont val="Tahoma"/>
            <family val="2"/>
          </rPr>
          <t xml:space="preserve">
1. D.P. Solicitud de información sobre costo de servicios contratados</t>
        </r>
      </text>
    </comment>
    <comment ref="L10" authorId="0" shapeId="0">
      <text>
        <r>
          <rPr>
            <b/>
            <sz val="9"/>
            <color indexed="81"/>
            <rFont val="Tahoma"/>
            <family val="2"/>
          </rPr>
          <t>Docente:</t>
        </r>
        <r>
          <rPr>
            <sz val="9"/>
            <color indexed="81"/>
            <rFont val="Tahoma"/>
            <family val="2"/>
          </rPr>
          <t xml:space="preserve">
Queja por demora  Ingreso al sistema de  información dosis refuerzo Mi Vacuna</t>
        </r>
      </text>
    </comment>
    <comment ref="L15" authorId="1" shapeId="0">
      <text>
        <r>
          <rPr>
            <b/>
            <sz val="9"/>
            <color indexed="81"/>
            <rFont val="Tahoma"/>
            <family val="2"/>
          </rPr>
          <t>Gloria A. Sanchez M.:</t>
        </r>
        <r>
          <rPr>
            <sz val="9"/>
            <color indexed="81"/>
            <rFont val="Tahoma"/>
            <family val="2"/>
          </rPr>
          <t xml:space="preserve">
No cumplieron GF(1) y DE(2) Invest(1)  GB(1) DOC Derecho(3)</t>
        </r>
      </text>
    </comment>
    <comment ref="I17" authorId="1" shapeId="0">
      <text>
        <r>
          <rPr>
            <b/>
            <sz val="9"/>
            <color indexed="81"/>
            <rFont val="Tahoma"/>
            <family val="2"/>
          </rPr>
          <t>Gloria A. Sanchez M.:</t>
        </r>
        <r>
          <rPr>
            <sz val="9"/>
            <color indexed="81"/>
            <rFont val="Tahoma"/>
            <family val="2"/>
          </rPr>
          <t xml:space="preserve">
1. Queja por falta de techo peatonal sede Belmonte
2 Petición instalación techo: Adecuar el camino desde la portería de Belmonte hasta el bloque de laboratorio
3.  Petición instalación techo: techo que cubra nuestro paso desde la entrada principal de Belmonte hasta el bloque C.
</t>
        </r>
      </text>
    </comment>
    <comment ref="I19" authorId="1" shapeId="0">
      <text>
        <r>
          <rPr>
            <b/>
            <sz val="9"/>
            <color indexed="81"/>
            <rFont val="Tahoma"/>
            <family val="2"/>
          </rPr>
          <t>Gloria A. Sanchez M.:</t>
        </r>
        <r>
          <rPr>
            <sz val="9"/>
            <color indexed="81"/>
            <rFont val="Tahoma"/>
            <family val="2"/>
          </rPr>
          <t xml:space="preserve">
BU:
1. Horarios de gimnasio  
2. Habilitación de cafetería en posgrados
3. Solicitud de techos  vias de acceso - sede belmonte</t>
        </r>
      </text>
    </comment>
    <comment ref="L19" authorId="1" shapeId="0">
      <text>
        <r>
          <rPr>
            <b/>
            <sz val="9"/>
            <color indexed="81"/>
            <rFont val="Tahoma"/>
            <family val="2"/>
          </rPr>
          <t>Gloria A. Sanchez M.:</t>
        </r>
        <r>
          <rPr>
            <sz val="9"/>
            <color indexed="81"/>
            <rFont val="Tahoma"/>
            <family val="2"/>
          </rPr>
          <t xml:space="preserve">
1 Queja recurrrente   por falta de aire acondicionado de la biblioteca  de Belmonte  no funciona
1 Queja recurrrente   por falta de aire acondicionado de la biblioteca  de Belmonte  no funciona  
2. Por  Iluminarias malas en la Biblioteca de la sede Belmonte - Estudiante de ingeniería civil - 
3. Queja por servicios de cafetería en posgrados  . </t>
        </r>
      </text>
    </comment>
    <comment ref="O19" authorId="1" shapeId="0">
      <text>
        <r>
          <rPr>
            <b/>
            <sz val="9"/>
            <color indexed="81"/>
            <rFont val="Tahoma"/>
            <family val="2"/>
          </rPr>
          <t>Gloria A. Sanchez M.:</t>
        </r>
        <r>
          <rPr>
            <sz val="9"/>
            <color indexed="81"/>
            <rFont val="Tahoma"/>
            <family val="2"/>
          </rPr>
          <t xml:space="preserve">
1. Horarios de gimnasio  
2. Habilitación de cafetería en posgrados
3. Solicitud de techos  vias de acceso - sede belmonte
4. El aire acondicionado de biblioteca de belmonte no funciona</t>
        </r>
      </text>
    </comment>
  </commentList>
</comments>
</file>

<file path=xl/comments6.xml><?xml version="1.0" encoding="utf-8"?>
<comments xmlns="http://schemas.openxmlformats.org/spreadsheetml/2006/main">
  <authors>
    <author>sistemas</author>
  </authors>
  <commentList>
    <comment ref="H10" authorId="0" shapeId="0">
      <text>
        <r>
          <rPr>
            <b/>
            <sz val="16"/>
            <color indexed="81"/>
            <rFont val="Tahoma"/>
            <family val="2"/>
          </rPr>
          <t>sistemas:</t>
        </r>
        <r>
          <rPr>
            <sz val="16"/>
            <color indexed="81"/>
            <rFont val="Tahoma"/>
            <family val="2"/>
          </rPr>
          <t xml:space="preserve">
Anual</t>
        </r>
      </text>
    </comment>
    <comment ref="H16" authorId="0" shapeId="0">
      <text>
        <r>
          <rPr>
            <b/>
            <sz val="12"/>
            <color indexed="81"/>
            <rFont val="Tahoma"/>
            <family val="2"/>
          </rPr>
          <t>sistemas:</t>
        </r>
        <r>
          <rPr>
            <sz val="12"/>
            <color indexed="81"/>
            <rFont val="Tahoma"/>
            <family val="2"/>
          </rPr>
          <t xml:space="preserve">
No se midió este indicador trimestral ya que fue creado en octubre 20 de 2011 y  la medición debe ser  el promedio semestral</t>
        </r>
      </text>
    </comment>
    <comment ref="H27" authorId="0" shapeId="0">
      <text>
        <r>
          <rPr>
            <b/>
            <sz val="11"/>
            <color indexed="81"/>
            <rFont val="Tahoma"/>
            <family val="2"/>
          </rPr>
          <t>sistemas:</t>
        </r>
        <r>
          <rPr>
            <sz val="11"/>
            <color indexed="81"/>
            <rFont val="Tahoma"/>
            <family val="2"/>
          </rPr>
          <t xml:space="preserve">
El número de usuarios que califican el servicio entre 4 y 5 fue de 153  de un total de 155 usuarios que calificaron el servicio y dos le dieron una calificación de 1.  Con respecto al 2011-2, disminuyé levemente (175 calificaciones), en términos generales se tiene una muestra significativa de calificaciones del servicio dado que desde el área se  solicita y se promueve la  calificación  y por la necesidad que tenemos de impelementar actividades que generen impacto y bienestar en la comunidad universitaria. Se le diligenció la historia clínica  113 usuarios que  asistieron por primera vez a consulta médica</t>
        </r>
      </text>
    </comment>
    <comment ref="I27" authorId="0" shapeId="0">
      <text>
        <r>
          <rPr>
            <b/>
            <sz val="11"/>
            <color indexed="81"/>
            <rFont val="Tahoma"/>
            <family val="2"/>
          </rPr>
          <t>sistemas:</t>
        </r>
        <r>
          <rPr>
            <sz val="11"/>
            <color indexed="81"/>
            <rFont val="Tahoma"/>
            <family val="2"/>
          </rPr>
          <t xml:space="preserve">
El número de usuarios que calificaron el servicio entre 4 y 5 fue de 34  de un total de 34 usuarios que calificaron el servicio. Las calificaciones disminuyeron  notablemente  con respecto al período anterior debido a que internamente desde el departamento de Bienestar se tuvo en cuenta sobre todo el formato interno que versa sobre  la calificación propiamente de las actividades que se realizan (evaluación actividad versión 3 del 16 de mayo de 2011) en esta calificación se obtuvo un nivel de satisfacción del 95%  Como acción correctiva se pretende estimar el uso del sistema de gestión de la calidad a través de la herramienta de medición correspondiente.  Se le diligenció la historia clínica  19 usuarios que  asistieron por primera vez a consulta médica </t>
        </r>
      </text>
    </comment>
    <comment ref="J27" authorId="0" shapeId="0">
      <text>
        <r>
          <rPr>
            <b/>
            <sz val="12"/>
            <color indexed="81"/>
            <rFont val="Tahoma"/>
            <family val="2"/>
          </rPr>
          <t>sistemas:</t>
        </r>
        <r>
          <rPr>
            <sz val="12"/>
            <color indexed="81"/>
            <rFont val="Tahoma"/>
            <family val="2"/>
          </rPr>
          <t xml:space="preserve">
El número de usuarios que calificaron el servicio entre 4 y 5 fue de 34  de un total de 34 usuarios que calificaron el servicio. Las calificaciones disminuyeron  notablemente  con respecto al período anterior debido a que internamente desde el departamento de Bienestar se tuvo en cuenta sobre todo el formato interno que versa sobre  la calificación propiamente de las actividades que se realizan (evaluación actividad versión 3 del 16 de mayo de 2011) en esta calificación se obtuvo un nivel de satisfacción del 95%  Como acción correctiva se pretende estimar el uso del sistema de gestión de la calidad a través de la herramienta de medición correspondiente.  Se le diligenció la historia clínica  19 usuarios que  asistieron por primera vez a consulta médica </t>
        </r>
      </text>
    </comment>
    <comment ref="H28" authorId="0" shapeId="0">
      <text>
        <r>
          <rPr>
            <b/>
            <sz val="11"/>
            <color indexed="81"/>
            <rFont val="Tahoma"/>
            <family val="2"/>
          </rPr>
          <t>sistemas:</t>
        </r>
        <r>
          <rPr>
            <sz val="11"/>
            <color indexed="81"/>
            <rFont val="Tahoma"/>
            <family val="2"/>
          </rPr>
          <t xml:space="preserve">
El número de usuarios que califican el servicio de Psicologia  entre 4 y 5 fue de 43 de un total de 43 usuarios que calificaron el servicio, es decir el 100% estuvo satisfecho  con la asesoría que brinda la Psicóloga de la Universidad.  Se le diligenció la historia clínica  a 34 usuarios que  asistieron por primera vez a asesoría psicológica.</t>
        </r>
      </text>
    </comment>
    <comment ref="I28" authorId="0" shapeId="0">
      <text>
        <r>
          <rPr>
            <b/>
            <sz val="11"/>
            <color indexed="81"/>
            <rFont val="Tahoma"/>
            <family val="2"/>
          </rPr>
          <t>sistemas:</t>
        </r>
        <r>
          <rPr>
            <sz val="11"/>
            <color indexed="81"/>
            <rFont val="Tahoma"/>
            <family val="2"/>
          </rPr>
          <t xml:space="preserve">
Se puede observar que el 100% de las calificación del servicio en la atención psicológica está en el rango superior (entre 4 y 5) con un total de 34 usuarios calificantes  Se  diligenció la historia clínica  a 33 usuarios que  asistieron por primera vez a asesoría psicológica.</t>
        </r>
      </text>
    </comment>
    <comment ref="J28" authorId="0" shapeId="0">
      <text>
        <r>
          <rPr>
            <b/>
            <sz val="11"/>
            <color indexed="81"/>
            <rFont val="Tahoma"/>
            <family val="2"/>
          </rPr>
          <t>sistemas:</t>
        </r>
        <r>
          <rPr>
            <sz val="11"/>
            <color indexed="81"/>
            <rFont val="Tahoma"/>
            <family val="2"/>
          </rPr>
          <t xml:space="preserve">
Se puede observar que el 100% de las calificación del servicio en la atención psicológica está en el rango superior (entre 4 y 5) con un total de 34 usuarios calificantes  Se  diligenció la historia clínica  a 33 usuarios que  asistieron por primera vez a asesoría psicológica.</t>
        </r>
      </text>
    </comment>
  </commentList>
</comments>
</file>

<file path=xl/comments7.xml><?xml version="1.0" encoding="utf-8"?>
<comments xmlns="http://schemas.openxmlformats.org/spreadsheetml/2006/main">
  <authors>
    <author>sistemas</author>
    <author>Gloria A. Sanchez M.</author>
    <author>Pc</author>
  </authors>
  <commentList>
    <comment ref="I16" authorId="0" shapeId="0">
      <text>
        <r>
          <rPr>
            <b/>
            <sz val="16"/>
            <color indexed="81"/>
            <rFont val="Tahoma"/>
            <family val="2"/>
          </rPr>
          <t>sistemas:</t>
        </r>
        <r>
          <rPr>
            <sz val="16"/>
            <color indexed="81"/>
            <rFont val="Tahoma"/>
            <family val="2"/>
          </rPr>
          <t xml:space="preserve">
Anual</t>
        </r>
      </text>
    </comment>
    <comment ref="Z53" authorId="1" shapeId="0">
      <text>
        <r>
          <rPr>
            <b/>
            <sz val="9"/>
            <color indexed="81"/>
            <rFont val="Tahoma"/>
            <family val="2"/>
          </rPr>
          <t>Gloria A. Sanchez M.:</t>
        </r>
        <r>
          <rPr>
            <sz val="9"/>
            <color indexed="81"/>
            <rFont val="Tahoma"/>
            <family val="2"/>
          </rPr>
          <t xml:space="preserve">
Se evaluó la evaluación de desempeño del período 2021: Se cumplió con el indicador frente a la población evaluada, de un total de 134 trabajadores evaluados, 132 obtuvieron una calificación mayor de 70 puntos en la evaluación del desempeño, obteniéndose un 98,51% de cumplimiento.</t>
        </r>
      </text>
    </comment>
    <comment ref="AB53" authorId="1" shapeId="0">
      <text>
        <r>
          <rPr>
            <b/>
            <sz val="9"/>
            <color indexed="81"/>
            <rFont val="Tahoma"/>
            <family val="2"/>
          </rPr>
          <t>Gloria A. Sanchez M.:</t>
        </r>
        <r>
          <rPr>
            <sz val="9"/>
            <color indexed="81"/>
            <rFont val="Tahoma"/>
            <family val="2"/>
          </rPr>
          <t xml:space="preserve">
Se evaluó la evaluación de desempeño del período 2021: Se cumplió con el indicador frente a la población evaluada, de un total de 134 trabajadores evaluados, 132 obtuvieron una calificación mayor de 70 puntos en la evaluación del desempeño, obteniéndose un 98,51% de cumplimiento.</t>
        </r>
      </text>
    </comment>
    <comment ref="AD77" authorId="1" shapeId="0">
      <text>
        <r>
          <rPr>
            <b/>
            <sz val="9"/>
            <color indexed="81"/>
            <rFont val="Tahoma"/>
            <family val="2"/>
          </rPr>
          <t>Gloria A. Sanchez M.:</t>
        </r>
        <r>
          <rPr>
            <sz val="9"/>
            <color indexed="81"/>
            <rFont val="Tahoma"/>
            <family val="2"/>
          </rPr>
          <t xml:space="preserve">
Se cumplió con la meta estándar del indicador, donde la evaluación de los docentes de la Facultad, arrojó un promedio de 4.66 en el primer semestre 2022-1 se aplicó a 53 docentes y los valores estuvieron entre 4.0 y 4.94. Por programa académico los promedios fueron así:
Nutrición y dietética, 4,61; Microbiología, 4,66 y Enfermería, 4,71. Los resultados obtenidos hablan del compromiso y responsabilidad de los docentes en su actividad laboral. El 88% de los estudiantes realizaron la evaluación, superando el 70% que exige la norma.</t>
        </r>
      </text>
    </comment>
    <comment ref="AE77" authorId="1" shapeId="0">
      <text>
        <r>
          <rPr>
            <b/>
            <sz val="9"/>
            <color indexed="81"/>
            <rFont val="Tahoma"/>
            <family val="2"/>
          </rPr>
          <t>Gloria A. Sanchez M.:</t>
        </r>
        <r>
          <rPr>
            <sz val="9"/>
            <color indexed="81"/>
            <rFont val="Tahoma"/>
            <family val="2"/>
          </rPr>
          <t xml:space="preserve">
Para el presente período se cumplió con la meta estándar del indicador, ya que el promedio general de la facultad fue de 4,72. La evaluación se aplicó a 53 docentes, 38 de planta y 16 catedráticos.
En cuanto a la evaluación por programa académico, el promedio obtenido para el programa de Enfermería fue de 4,74, con una nota mínima de 3,15 y una máxima de 4,98. Para el caso del docente con la más baja calificación, se notificó y se realizó una actividad de mejoramiento.
El programa de Microbiología muestra un promedio de 4,75, con una nota mínima de 4,31 y una máxima de 4,95.
El programa de Nutrición y Dietética obtuvo un promedio de 4,67, con una mínima de 3,78 y una máxima de 4,95.
En términos generales la facultad muestra una calificación que da fe del compromiso, didáctica y responsabilidad.
</t>
        </r>
      </text>
    </comment>
    <comment ref="AD78" authorId="1" shapeId="0">
      <text>
        <r>
          <rPr>
            <b/>
            <sz val="9"/>
            <color indexed="81"/>
            <rFont val="Tahoma"/>
            <family val="2"/>
          </rPr>
          <t>Gloria A. Sanchez M.:</t>
        </r>
        <r>
          <rPr>
            <sz val="9"/>
            <color indexed="81"/>
            <rFont val="Tahoma"/>
            <family val="2"/>
          </rPr>
          <t xml:space="preserve">
Para el período académico 2022-1 la Facultad obtuvo un resultado promedio de 4.61, cumpliendo con la meta estandar nacional, distribuida la evaluación por programa así:
Economía: 4.58
Contaduría Pública :4.72
Administración de Empresas: 4.52
Con base en los anteriores resultados, a tres docentes se les informó acerca de su evaluación y las observaciones realizadas por los estudiantes, donde a dos de ellos se les esta formulando un plan de acción de mejora para su ejecución durante el segundo semestre académico de 2022 y a ltercer docente no se le renovó su contrato de trabajo.</t>
        </r>
      </text>
    </comment>
    <comment ref="AE78" authorId="1" shapeId="0">
      <text>
        <r>
          <rPr>
            <b/>
            <sz val="9"/>
            <color indexed="81"/>
            <rFont val="Tahoma"/>
            <family val="2"/>
          </rPr>
          <t>Gloria A. Sanchez M.:</t>
        </r>
        <r>
          <rPr>
            <sz val="9"/>
            <color indexed="81"/>
            <rFont val="Tahoma"/>
            <family val="2"/>
          </rPr>
          <t xml:space="preserve">
Se puede observar que para ambos periodos se ha cumplido con la meta estándar nacional, tanto para la Facultad en su conjunto como para cada uno de los programas reflejada en la tendencia creciente de sus resultados como acciones de mejora. De manera más específica, el programa de Contaduría Pública presenta una ligera tendencia a la baja en sus resultados sin que este alejada del promedio de la Facultad y dentro del estándar nacional de la universidad.
El docente identificado con cédula de ciudadanía número 10.283.129 esta desvinculado de la Universidad desde julio 1º de 2022
La docente identificada con la cédula de ciudadanía número 42.060.692, para el 2022-2 se presenta la necesidad de implementar y desarrollar el plan de mejora académico soportado en los siguientes aspectos:
.- Revisión del proceso de fusión de la asignatura de presupuesto, para la orientación de los enfoques en Contaduría Pública y Administración de Empresas
.- Replantear los conceptos y prácticas metodológicas para el desarrollo de las asignaturas. ,.
.- Revisar y reorientar el proceso de evaluación a los estudiantes
.- Realizar proceso de capacitación a través de la Escuela de Formación Docente</t>
        </r>
      </text>
    </comment>
    <comment ref="AD79" authorId="1" shapeId="0">
      <text>
        <r>
          <rPr>
            <b/>
            <sz val="9"/>
            <color indexed="81"/>
            <rFont val="Tahoma"/>
            <family val="2"/>
          </rPr>
          <t>Gloria A. Sanchez M.:</t>
        </r>
        <r>
          <rPr>
            <sz val="9"/>
            <color indexed="81"/>
            <rFont val="Tahoma"/>
            <family val="2"/>
          </rPr>
          <t xml:space="preserve">
El programa de Derecho semestralizado para el período 2022-1, evaluó 5 docentes que cumpliero con el 70% de la evaluación estudiantil de un total de 37 asignados al programa de Derecho Semestral, con un promedio de 4.58.
Es importante aclarar que para el programa anualizado, se realizará en el mes de Octubre de 2022.
Con el ánimo de lograr mayor participación de los estudiantes en la evaluación docente, se están realizando acciones para promocionar la importancia del proceso.
</t>
        </r>
      </text>
    </comment>
    <comment ref="AE79" authorId="1" shapeId="0">
      <text>
        <r>
          <rPr>
            <b/>
            <sz val="9"/>
            <color indexed="81"/>
            <rFont val="Tahoma"/>
            <family val="2"/>
          </rPr>
          <t>Gloria A. Sanchez M.:</t>
        </r>
        <r>
          <rPr>
            <sz val="9"/>
            <color indexed="81"/>
            <rFont val="Tahoma"/>
            <family val="2"/>
          </rPr>
          <t xml:space="preserve">
El programa de Derecho semestralizado para el período 2022-2, obtuvo un resultado de evaluación docente 4.95 correspondiente a una docente, ya que no fue posible llgar al 70% de evaluación estudiantil en los 49 docentes objeto de evaluación para este período.
Es importante anotar que la baja participación de los estudiantes obedece a la falta de credibilidad en el proceso de evaluación, como oportunidad de mejora se han venido desarrollando estrategias de concientización, promoción de la evaluación docente con los representantes de grupo y líderes estudiantiles, con el fin de lograr que los estudiantes realicen el proceso de evaluación en su integralidad, para lograr que los estudiantes tengan claro la importancia de evaluar a sus docentes.
El programa de Trabajo Social, obtuvo un resultado de evaluación docente de 4.45 correspondiente a 20 docentes de un total de 21 docentes objeto de evaluación.
Es importante informar que las observaciones realizadas por los estudiantes en su evaluación de cada uno de los programas se les envía como retroalimentación y mejora de proceso.
NOTA: los docentes evaluados se toman como centro de costos de cada uno de los programas.
</t>
        </r>
      </text>
    </comment>
    <comment ref="AD80" authorId="1" shapeId="0">
      <text>
        <r>
          <rPr>
            <b/>
            <sz val="9"/>
            <color indexed="81"/>
            <rFont val="Tahoma"/>
            <family val="2"/>
          </rPr>
          <t>Gloria A. Sanchez M.:</t>
        </r>
        <r>
          <rPr>
            <sz val="9"/>
            <color indexed="81"/>
            <rFont val="Tahoma"/>
            <family val="2"/>
          </rPr>
          <t xml:space="preserve">
2022-1: Durante el primer semestre en la Facultad se cumplió la meta nacional de 4,5, obteniéndose un resultado del 4,61. de un total de 61 docentes evaluados se obtuvieron los siguientes resultados: 72.13% (44 docentes) obtuvieron la calificación de Excelente; 24.59% (15 docentes) obtuvieron la calificación de Bueno y 3,28% (2 docentes) obtuvieron la calificación de Satisfactorio. No se obtuvieron calificaciones de Regular o Muy Deficiente.
Como plan de acción el Comité de Evaluación y Selección Docente recomendó que los docentes con evaluación de Satisfactorio revisen las estrategias metodológicas.
Nota:
1.El número de docentes para cada programa varía en relación con los asignados al centro de costos, toda vez que existen varios docentes vinculados en varios programas de la Facultad
2. La evaluación docente no es posible obtenerla por programa, toda vez que el resultado se obtiene de la totalidad de estudiantes que un docente tiene en los diversos grupos asignados, es decir, con la participación de todos los programas, además de la existencia del área de Ciencias Básicas</t>
        </r>
      </text>
    </comment>
    <comment ref="AE80" authorId="1" shapeId="0">
      <text>
        <r>
          <rPr>
            <b/>
            <sz val="9"/>
            <color indexed="81"/>
            <rFont val="Tahoma"/>
            <family val="2"/>
          </rPr>
          <t>Gloria A. Sanchez M.:</t>
        </r>
        <r>
          <rPr>
            <sz val="9"/>
            <color indexed="81"/>
            <rFont val="Tahoma"/>
            <family val="2"/>
          </rPr>
          <t xml:space="preserve">
Durante el segundo semestre en la Facultad se cumplió la meta nacional de cuatro punto cinco (4.5), obteniéndose un resultado de cuatro sesenta y uno (4,61). De un total de 61 docentes evaluados se obtuvieron los siguientes resultados: 70,49% (43 docentes) obtuvieron la calificación de Excelente; 27,86% (17 docentes) obtuvieron la calificación de Bueno y 1,63% (1 docente) obtuvieron la calificación de Regular. No se obtuvieron calificaciones de Satisfactorio o Muy deficiente; distribuida la evaluación por programa así:
Ingeniería Comercial: 4,73
Ingeniería Civil: 4,56
Ingeniería de Sistemas: 4,70
Ingeniería Financiera: 4,72
Como Plan de acción el Comité de Evaluación y Selección Docente de la Facultad recomendó que los docentes con evaluación estudiantiles por debajo de 4, calificación Satisfactoria, revisen las estrategias estrategias metodológicas. Y con relación al docente que obtuvo la Evaluación de Regular dar aplicación lo establecido en el Artículo 51. Consecuencias de la evaluación docente contemplado en el Reglamento Docente (Acuerdo Nro 06 de 2017).
Nota 1. El número de docentes para cada programa varía en relación con los asignados al centro de costo, toda vez que existen varios docentes vinculados en varios programas de la Facultad.
Nota 2. La evaluación docente no es posible obtenerla por programa toda vez que el resultado se obtiene de la totalidad de estudiantes que un docente tiene en los diversos grupos asignados, es decir, con la participación de todos los programas, además de la existencia del área de Ciencias Básicas.
</t>
        </r>
      </text>
    </comment>
    <comment ref="AG95" authorId="2" shapeId="0">
      <text>
        <r>
          <rPr>
            <b/>
            <sz val="8"/>
            <color indexed="81"/>
            <rFont val="Tahoma"/>
            <family val="2"/>
          </rPr>
          <t>Pc:</t>
        </r>
        <r>
          <rPr>
            <sz val="8"/>
            <color indexed="81"/>
            <rFont val="Tahoma"/>
            <family val="2"/>
          </rPr>
          <t xml:space="preserve">
Medidos en ambos perìodos los cuales incluyen todos los que no aplican por no ser comparables </t>
        </r>
      </text>
    </comment>
  </commentList>
</comments>
</file>

<file path=xl/comments8.xml><?xml version="1.0" encoding="utf-8"?>
<comments xmlns="http://schemas.openxmlformats.org/spreadsheetml/2006/main">
  <authors>
    <author>sistemas</author>
    <author>Calidad Gloria Amparo Sanchez</author>
    <author>Docente</author>
    <author>Beatriz E. Duran G.</author>
    <author>Gloria A. Sanchez M.</author>
    <author>Gloria Amparo Sanchez</author>
  </authors>
  <commentList>
    <comment ref="N4" authorId="0" shapeId="0">
      <text>
        <r>
          <rPr>
            <b/>
            <sz val="8"/>
            <color indexed="81"/>
            <rFont val="Tahoma"/>
            <family val="2"/>
          </rPr>
          <t>sistemas:</t>
        </r>
        <r>
          <rPr>
            <sz val="8"/>
            <color indexed="81"/>
            <rFont val="Tahoma"/>
            <family val="2"/>
          </rPr>
          <t xml:space="preserve">
OBSERVACIONES: 2</t>
        </r>
      </text>
    </comment>
    <comment ref="L5" authorId="0" shapeId="0">
      <text>
        <r>
          <rPr>
            <b/>
            <sz val="8"/>
            <color indexed="81"/>
            <rFont val="Tahoma"/>
            <family val="2"/>
          </rPr>
          <t>sistemas:</t>
        </r>
        <r>
          <rPr>
            <sz val="8"/>
            <color indexed="81"/>
            <rFont val="Tahoma"/>
            <family val="2"/>
          </rPr>
          <t xml:space="preserve">
OBSERVACIONES: 1</t>
        </r>
      </text>
    </comment>
    <comment ref="N5" authorId="0" shapeId="0">
      <text>
        <r>
          <rPr>
            <b/>
            <sz val="8"/>
            <color indexed="81"/>
            <rFont val="Tahoma"/>
            <family val="2"/>
          </rPr>
          <t>sistemas:</t>
        </r>
        <r>
          <rPr>
            <sz val="8"/>
            <color indexed="81"/>
            <rFont val="Tahoma"/>
            <family val="2"/>
          </rPr>
          <t xml:space="preserve">
OBSERVACIONES: 1</t>
        </r>
      </text>
    </comment>
    <comment ref="P5" authorId="0" shapeId="0">
      <text>
        <r>
          <rPr>
            <b/>
            <sz val="8"/>
            <color indexed="81"/>
            <rFont val="Tahoma"/>
            <family val="2"/>
          </rPr>
          <t>sistemas:</t>
        </r>
        <r>
          <rPr>
            <sz val="8"/>
            <color indexed="81"/>
            <rFont val="Tahoma"/>
            <family val="2"/>
          </rPr>
          <t xml:space="preserve">
sistemas:
</t>
        </r>
        <r>
          <rPr>
            <b/>
            <sz val="12"/>
            <color indexed="81"/>
            <rFont val="Tahoma"/>
            <family val="2"/>
          </rPr>
          <t>OBS: 1</t>
        </r>
      </text>
    </comment>
    <comment ref="Q5" authorId="1" shapeId="0">
      <text>
        <r>
          <rPr>
            <b/>
            <sz val="9"/>
            <color indexed="81"/>
            <rFont val="Tahoma"/>
            <family val="2"/>
          </rPr>
          <t>Calidad Gloria Amparo Sanchez:</t>
        </r>
        <r>
          <rPr>
            <sz val="9"/>
            <color indexed="81"/>
            <rFont val="Tahoma"/>
            <family val="2"/>
          </rPr>
          <t xml:space="preserve">
OBS: 1</t>
        </r>
      </text>
    </comment>
    <comment ref="U5" authorId="1" shapeId="0">
      <text>
        <r>
          <rPr>
            <b/>
            <sz val="9"/>
            <color indexed="81"/>
            <rFont val="Tahoma"/>
            <family val="2"/>
          </rPr>
          <t xml:space="preserve">Calidad Gloria Amparo Sanchez: 2 OBSERVACIONES </t>
        </r>
        <r>
          <rPr>
            <sz val="9"/>
            <color indexed="81"/>
            <rFont val="Tahoma"/>
            <family val="2"/>
          </rPr>
          <t xml:space="preserve">
</t>
        </r>
      </text>
    </comment>
    <comment ref="W5" authorId="1" shapeId="0">
      <text>
        <r>
          <rPr>
            <b/>
            <sz val="9"/>
            <color indexed="81"/>
            <rFont val="Tahoma"/>
            <family val="2"/>
          </rPr>
          <t xml:space="preserve">Calidad Gloria Amparo Sanchez: 2 OBSERVACIONES </t>
        </r>
        <r>
          <rPr>
            <sz val="9"/>
            <color indexed="81"/>
            <rFont val="Tahoma"/>
            <family val="2"/>
          </rPr>
          <t xml:space="preserve">
</t>
        </r>
      </text>
    </comment>
    <comment ref="AC5" authorId="2" shapeId="0">
      <text>
        <r>
          <rPr>
            <b/>
            <sz val="9"/>
            <color indexed="81"/>
            <rFont val="Tahoma"/>
            <family val="2"/>
          </rPr>
          <t>Docente:</t>
        </r>
        <r>
          <rPr>
            <sz val="9"/>
            <color indexed="81"/>
            <rFont val="Tahoma"/>
            <family val="2"/>
          </rPr>
          <t xml:space="preserve">
2 OBS</t>
        </r>
      </text>
    </comment>
    <comment ref="AD5" authorId="2" shapeId="0">
      <text>
        <r>
          <rPr>
            <b/>
            <sz val="9"/>
            <color indexed="81"/>
            <rFont val="Tahoma"/>
            <family val="2"/>
          </rPr>
          <t>Docente:</t>
        </r>
        <r>
          <rPr>
            <sz val="9"/>
            <color indexed="81"/>
            <rFont val="Tahoma"/>
            <family val="2"/>
          </rPr>
          <t xml:space="preserve">
1 OBS</t>
        </r>
      </text>
    </comment>
    <comment ref="L6" authorId="0" shapeId="0">
      <text>
        <r>
          <rPr>
            <b/>
            <sz val="8"/>
            <color indexed="81"/>
            <rFont val="Tahoma"/>
            <family val="2"/>
          </rPr>
          <t>sistemas:</t>
        </r>
        <r>
          <rPr>
            <sz val="8"/>
            <color indexed="81"/>
            <rFont val="Tahoma"/>
            <family val="2"/>
          </rPr>
          <t xml:space="preserve">
OBSERVACIONES: 1</t>
        </r>
      </text>
    </comment>
    <comment ref="N6" authorId="0" shapeId="0">
      <text>
        <r>
          <rPr>
            <b/>
            <sz val="8"/>
            <color indexed="81"/>
            <rFont val="Tahoma"/>
            <family val="2"/>
          </rPr>
          <t>sistemas:</t>
        </r>
        <r>
          <rPr>
            <sz val="8"/>
            <color indexed="81"/>
            <rFont val="Tahoma"/>
            <family val="2"/>
          </rPr>
          <t xml:space="preserve">
OBSERVACIONES: 0</t>
        </r>
      </text>
    </comment>
    <comment ref="P6" authorId="0" shapeId="0">
      <text>
        <r>
          <rPr>
            <b/>
            <sz val="12"/>
            <color indexed="81"/>
            <rFont val="Tahoma"/>
            <family val="2"/>
          </rPr>
          <t>sistemas:</t>
        </r>
        <r>
          <rPr>
            <sz val="12"/>
            <color indexed="81"/>
            <rFont val="Tahoma"/>
            <family val="2"/>
          </rPr>
          <t xml:space="preserve">
OBS: 1</t>
        </r>
      </text>
    </comment>
    <comment ref="Q6" authorId="1" shapeId="0">
      <text>
        <r>
          <rPr>
            <b/>
            <sz val="9"/>
            <color indexed="81"/>
            <rFont val="Tahoma"/>
            <family val="2"/>
          </rPr>
          <t>Calidad Gloria Amparo Sanchez:</t>
        </r>
        <r>
          <rPr>
            <sz val="9"/>
            <color indexed="81"/>
            <rFont val="Tahoma"/>
            <family val="2"/>
          </rPr>
          <t xml:space="preserve">
OBS: 1</t>
        </r>
      </text>
    </comment>
    <comment ref="R6" authorId="1" shapeId="0">
      <text>
        <r>
          <rPr>
            <b/>
            <sz val="9"/>
            <color indexed="81"/>
            <rFont val="Tahoma"/>
            <family val="2"/>
          </rPr>
          <t>Calidad Gloria Amparo Sanchez:</t>
        </r>
        <r>
          <rPr>
            <sz val="9"/>
            <color indexed="81"/>
            <rFont val="Tahoma"/>
            <family val="2"/>
          </rPr>
          <t xml:space="preserve">
OBS: 1</t>
        </r>
      </text>
    </comment>
    <comment ref="T6" authorId="1" shapeId="0">
      <text>
        <r>
          <rPr>
            <b/>
            <sz val="9"/>
            <color indexed="81"/>
            <rFont val="Tahoma"/>
            <family val="2"/>
          </rPr>
          <t>Calidad Gloria Amparo Sanchez:</t>
        </r>
        <r>
          <rPr>
            <sz val="9"/>
            <color indexed="81"/>
            <rFont val="Tahoma"/>
            <family val="2"/>
          </rPr>
          <t xml:space="preserve">
OBS: 1</t>
        </r>
      </text>
    </comment>
    <comment ref="V6" authorId="1" shapeId="0">
      <text>
        <r>
          <rPr>
            <b/>
            <sz val="9"/>
            <color indexed="81"/>
            <rFont val="Tahoma"/>
            <family val="2"/>
          </rPr>
          <t>Calidad Gloria Amparo Sanchez:</t>
        </r>
        <r>
          <rPr>
            <sz val="9"/>
            <color indexed="81"/>
            <rFont val="Tahoma"/>
            <family val="2"/>
          </rPr>
          <t xml:space="preserve">
OBS:1</t>
        </r>
      </text>
    </comment>
    <comment ref="X6" authorId="3" shapeId="0">
      <text>
        <r>
          <rPr>
            <b/>
            <sz val="9"/>
            <color indexed="81"/>
            <rFont val="Tahoma"/>
            <family val="2"/>
          </rPr>
          <t>Beatriz E. Duran G.:</t>
        </r>
        <r>
          <rPr>
            <sz val="9"/>
            <color indexed="81"/>
            <rFont val="Tahoma"/>
            <family val="2"/>
          </rPr>
          <t xml:space="preserve">
1 OBSERVACION </t>
        </r>
      </text>
    </comment>
    <comment ref="AD6" authorId="4" shapeId="0">
      <text>
        <r>
          <rPr>
            <b/>
            <sz val="9"/>
            <color indexed="81"/>
            <rFont val="Tahoma"/>
            <family val="2"/>
          </rPr>
          <t>Gloria A. Sanchez M.:</t>
        </r>
        <r>
          <rPr>
            <sz val="9"/>
            <color indexed="81"/>
            <rFont val="Tahoma"/>
            <family val="2"/>
          </rPr>
          <t xml:space="preserve">
3 OBS</t>
        </r>
      </text>
    </comment>
    <comment ref="L7" authorId="0" shapeId="0">
      <text>
        <r>
          <rPr>
            <b/>
            <sz val="8"/>
            <color indexed="81"/>
            <rFont val="Tahoma"/>
            <family val="2"/>
          </rPr>
          <t>sistemas:</t>
        </r>
        <r>
          <rPr>
            <sz val="8"/>
            <color indexed="81"/>
            <rFont val="Tahoma"/>
            <family val="2"/>
          </rPr>
          <t xml:space="preserve">
OBSERVACIONES: 4</t>
        </r>
      </text>
    </comment>
    <comment ref="N7" authorId="0" shapeId="0">
      <text>
        <r>
          <rPr>
            <b/>
            <sz val="8"/>
            <color indexed="81"/>
            <rFont val="Tahoma"/>
            <family val="2"/>
          </rPr>
          <t>sistemas:</t>
        </r>
        <r>
          <rPr>
            <sz val="8"/>
            <color indexed="81"/>
            <rFont val="Tahoma"/>
            <family val="2"/>
          </rPr>
          <t xml:space="preserve">
OBSERVACIONES: 2
</t>
        </r>
      </text>
    </comment>
    <comment ref="P7" authorId="0" shapeId="0">
      <text>
        <r>
          <rPr>
            <b/>
            <sz val="8"/>
            <color indexed="81"/>
            <rFont val="Tahoma"/>
            <family val="2"/>
          </rPr>
          <t>sistemas:</t>
        </r>
        <r>
          <rPr>
            <sz val="8"/>
            <color indexed="81"/>
            <rFont val="Tahoma"/>
            <family val="2"/>
          </rPr>
          <t xml:space="preserve">
</t>
        </r>
        <r>
          <rPr>
            <b/>
            <sz val="11"/>
            <color indexed="81"/>
            <rFont val="Tahoma"/>
            <family val="2"/>
          </rPr>
          <t>sistemas:
OBS: 1</t>
        </r>
      </text>
    </comment>
    <comment ref="Q7" authorId="1" shapeId="0">
      <text>
        <r>
          <rPr>
            <b/>
            <sz val="9"/>
            <color indexed="81"/>
            <rFont val="Tahoma"/>
            <family val="2"/>
          </rPr>
          <t>Calidad Gloria Amparo Sanchez:</t>
        </r>
        <r>
          <rPr>
            <sz val="9"/>
            <color indexed="81"/>
            <rFont val="Tahoma"/>
            <family val="2"/>
          </rPr>
          <t xml:space="preserve">
OBS: 1</t>
        </r>
      </text>
    </comment>
    <comment ref="R7" authorId="1" shapeId="0">
      <text>
        <r>
          <rPr>
            <b/>
            <sz val="9"/>
            <color indexed="81"/>
            <rFont val="Tahoma"/>
            <family val="2"/>
          </rPr>
          <t>Calidad Gloria Amparo Sanchez:</t>
        </r>
        <r>
          <rPr>
            <sz val="9"/>
            <color indexed="81"/>
            <rFont val="Tahoma"/>
            <family val="2"/>
          </rPr>
          <t xml:space="preserve">
OBS: 3</t>
        </r>
      </text>
    </comment>
    <comment ref="S7" authorId="1" shapeId="0">
      <text>
        <r>
          <rPr>
            <b/>
            <sz val="9"/>
            <color indexed="81"/>
            <rFont val="Tahoma"/>
            <family val="2"/>
          </rPr>
          <t>Calidad Gloria Amparo Sanchez:</t>
        </r>
        <r>
          <rPr>
            <sz val="9"/>
            <color indexed="81"/>
            <rFont val="Tahoma"/>
            <family val="2"/>
          </rPr>
          <t xml:space="preserve">
OBS: 1</t>
        </r>
      </text>
    </comment>
    <comment ref="T7" authorId="1" shapeId="0">
      <text>
        <r>
          <rPr>
            <b/>
            <sz val="9"/>
            <color indexed="81"/>
            <rFont val="Tahoma"/>
            <family val="2"/>
          </rPr>
          <t>Calidad Gloria Amparo Sanchez:</t>
        </r>
        <r>
          <rPr>
            <sz val="9"/>
            <color indexed="81"/>
            <rFont val="Tahoma"/>
            <family val="2"/>
          </rPr>
          <t xml:space="preserve">
OBS: 3</t>
        </r>
      </text>
    </comment>
    <comment ref="V7" authorId="1" shapeId="0">
      <text>
        <r>
          <rPr>
            <b/>
            <sz val="9"/>
            <color indexed="81"/>
            <rFont val="Tahoma"/>
            <family val="2"/>
          </rPr>
          <t>Calidad Gloria Amparo Sanchez:</t>
        </r>
        <r>
          <rPr>
            <sz val="9"/>
            <color indexed="81"/>
            <rFont val="Tahoma"/>
            <family val="2"/>
          </rPr>
          <t xml:space="preserve">
OBS:1</t>
        </r>
      </text>
    </comment>
    <comment ref="X7" authorId="3" shapeId="0">
      <text>
        <r>
          <rPr>
            <b/>
            <sz val="9"/>
            <color indexed="81"/>
            <rFont val="Tahoma"/>
            <family val="2"/>
          </rPr>
          <t>Beatriz E. Duran G.:</t>
        </r>
        <r>
          <rPr>
            <sz val="9"/>
            <color indexed="81"/>
            <rFont val="Tahoma"/>
            <family val="2"/>
          </rPr>
          <t xml:space="preserve">
3 OBSERVACIONES </t>
        </r>
      </text>
    </comment>
    <comment ref="AB7" authorId="2" shapeId="0">
      <text>
        <r>
          <rPr>
            <b/>
            <sz val="9"/>
            <color indexed="81"/>
            <rFont val="Tahoma"/>
            <family val="2"/>
          </rPr>
          <t>Docente:</t>
        </r>
        <r>
          <rPr>
            <sz val="9"/>
            <color indexed="81"/>
            <rFont val="Tahoma"/>
            <family val="2"/>
          </rPr>
          <t xml:space="preserve">
1 OBS</t>
        </r>
      </text>
    </comment>
    <comment ref="AC7" authorId="2" shapeId="0">
      <text>
        <r>
          <rPr>
            <b/>
            <sz val="9"/>
            <color indexed="81"/>
            <rFont val="Tahoma"/>
            <family val="2"/>
          </rPr>
          <t>Docente:</t>
        </r>
        <r>
          <rPr>
            <sz val="9"/>
            <color indexed="81"/>
            <rFont val="Tahoma"/>
            <family val="2"/>
          </rPr>
          <t xml:space="preserve">
4 OBS</t>
        </r>
      </text>
    </comment>
    <comment ref="AD7" authorId="2" shapeId="0">
      <text>
        <r>
          <rPr>
            <b/>
            <sz val="9"/>
            <color indexed="81"/>
            <rFont val="Tahoma"/>
            <family val="2"/>
          </rPr>
          <t>Docente:</t>
        </r>
        <r>
          <rPr>
            <sz val="9"/>
            <color indexed="81"/>
            <rFont val="Tahoma"/>
            <family val="2"/>
          </rPr>
          <t xml:space="preserve">
1  OBS</t>
        </r>
      </text>
    </comment>
    <comment ref="AE7" authorId="4" shapeId="0">
      <text>
        <r>
          <rPr>
            <b/>
            <sz val="16"/>
            <color indexed="81"/>
            <rFont val="Tahoma"/>
            <family val="2"/>
          </rPr>
          <t>Gloria A. Sanchez M.:</t>
        </r>
        <r>
          <rPr>
            <sz val="16"/>
            <color indexed="81"/>
            <rFont val="Tahoma"/>
            <family val="2"/>
          </rPr>
          <t xml:space="preserve">
Observaciones 1</t>
        </r>
      </text>
    </comment>
    <comment ref="L8" authorId="0" shapeId="0">
      <text>
        <r>
          <rPr>
            <b/>
            <sz val="8"/>
            <color indexed="81"/>
            <rFont val="Tahoma"/>
            <family val="2"/>
          </rPr>
          <t>sistemas:</t>
        </r>
        <r>
          <rPr>
            <sz val="8"/>
            <color indexed="81"/>
            <rFont val="Tahoma"/>
            <family val="2"/>
          </rPr>
          <t xml:space="preserve">
OBSERVACIONES: 6</t>
        </r>
      </text>
    </comment>
    <comment ref="N8" authorId="0" shapeId="0">
      <text>
        <r>
          <rPr>
            <b/>
            <sz val="8"/>
            <color indexed="81"/>
            <rFont val="Tahoma"/>
            <family val="2"/>
          </rPr>
          <t>sistemas:</t>
        </r>
        <r>
          <rPr>
            <sz val="8"/>
            <color indexed="81"/>
            <rFont val="Tahoma"/>
            <family val="2"/>
          </rPr>
          <t xml:space="preserve">
OBSERVACIONES: 4
</t>
        </r>
      </text>
    </comment>
    <comment ref="P8" authorId="0" shapeId="0">
      <text>
        <r>
          <rPr>
            <b/>
            <sz val="8"/>
            <color indexed="81"/>
            <rFont val="Tahoma"/>
            <family val="2"/>
          </rPr>
          <t>sistemas:</t>
        </r>
        <r>
          <rPr>
            <sz val="8"/>
            <color indexed="81"/>
            <rFont val="Tahoma"/>
            <family val="2"/>
          </rPr>
          <t xml:space="preserve">
sistemas:
</t>
        </r>
        <r>
          <rPr>
            <sz val="12"/>
            <color indexed="81"/>
            <rFont val="Tahoma"/>
            <family val="2"/>
          </rPr>
          <t>OBS: 2</t>
        </r>
      </text>
    </comment>
    <comment ref="R8" authorId="1" shapeId="0">
      <text>
        <r>
          <rPr>
            <b/>
            <sz val="9"/>
            <color indexed="81"/>
            <rFont val="Tahoma"/>
            <family val="2"/>
          </rPr>
          <t>Calidad Gloria Amparo Sanchez:</t>
        </r>
        <r>
          <rPr>
            <sz val="9"/>
            <color indexed="81"/>
            <rFont val="Tahoma"/>
            <family val="2"/>
          </rPr>
          <t xml:space="preserve">
OBS: 1</t>
        </r>
      </text>
    </comment>
    <comment ref="S8" authorId="1" shapeId="0">
      <text>
        <r>
          <rPr>
            <b/>
            <sz val="9"/>
            <color indexed="81"/>
            <rFont val="Tahoma"/>
            <family val="2"/>
          </rPr>
          <t>Calidad Gloria Amparo Sanchez:</t>
        </r>
        <r>
          <rPr>
            <sz val="9"/>
            <color indexed="81"/>
            <rFont val="Tahoma"/>
            <family val="2"/>
          </rPr>
          <t xml:space="preserve">
OBS: 1</t>
        </r>
      </text>
    </comment>
    <comment ref="V8" authorId="1" shapeId="0">
      <text>
        <r>
          <rPr>
            <b/>
            <sz val="9"/>
            <color indexed="81"/>
            <rFont val="Tahoma"/>
            <family val="2"/>
          </rPr>
          <t>Calidad Gloria Amparo Sanchez:</t>
        </r>
        <r>
          <rPr>
            <sz val="9"/>
            <color indexed="81"/>
            <rFont val="Tahoma"/>
            <family val="2"/>
          </rPr>
          <t xml:space="preserve">
OBS:1</t>
        </r>
      </text>
    </comment>
    <comment ref="X8" authorId="3" shapeId="0">
      <text>
        <r>
          <rPr>
            <b/>
            <sz val="9"/>
            <color indexed="81"/>
            <rFont val="Tahoma"/>
            <family val="2"/>
          </rPr>
          <t>Beatriz E. Duran G.:</t>
        </r>
        <r>
          <rPr>
            <sz val="9"/>
            <color indexed="81"/>
            <rFont val="Tahoma"/>
            <family val="2"/>
          </rPr>
          <t xml:space="preserve">
2 OBSERVACIONES </t>
        </r>
      </text>
    </comment>
    <comment ref="AD8" authorId="4" shapeId="0">
      <text>
        <r>
          <rPr>
            <b/>
            <sz val="9"/>
            <color indexed="81"/>
            <rFont val="Tahoma"/>
            <family val="2"/>
          </rPr>
          <t>Gloria A. Sanchez M.:</t>
        </r>
        <r>
          <rPr>
            <sz val="9"/>
            <color indexed="81"/>
            <rFont val="Tahoma"/>
            <family val="2"/>
          </rPr>
          <t xml:space="preserve">
2 OBS</t>
        </r>
      </text>
    </comment>
    <comment ref="AE8" authorId="4" shapeId="0">
      <text>
        <r>
          <rPr>
            <b/>
            <sz val="16"/>
            <color indexed="81"/>
            <rFont val="Tahoma"/>
            <family val="2"/>
          </rPr>
          <t>Gloria A. Sanchez M.:</t>
        </r>
        <r>
          <rPr>
            <sz val="16"/>
            <color indexed="81"/>
            <rFont val="Tahoma"/>
            <family val="2"/>
          </rPr>
          <t xml:space="preserve">
Observaciones 1</t>
        </r>
      </text>
    </comment>
    <comment ref="L9" authorId="0" shapeId="0">
      <text>
        <r>
          <rPr>
            <b/>
            <sz val="8"/>
            <color indexed="81"/>
            <rFont val="Tahoma"/>
            <family val="2"/>
          </rPr>
          <t>sistemas:</t>
        </r>
        <r>
          <rPr>
            <sz val="8"/>
            <color indexed="81"/>
            <rFont val="Tahoma"/>
            <family val="2"/>
          </rPr>
          <t xml:space="preserve">
OBSERVACIONES: 1</t>
        </r>
      </text>
    </comment>
    <comment ref="N9" authorId="0" shapeId="0">
      <text>
        <r>
          <rPr>
            <b/>
            <sz val="8"/>
            <color indexed="81"/>
            <rFont val="Tahoma"/>
            <family val="2"/>
          </rPr>
          <t>sistemas:</t>
        </r>
        <r>
          <rPr>
            <sz val="8"/>
            <color indexed="81"/>
            <rFont val="Tahoma"/>
            <family val="2"/>
          </rPr>
          <t xml:space="preserve">
OBSERVACIONES: 4</t>
        </r>
      </text>
    </comment>
    <comment ref="T9" authorId="1" shapeId="0">
      <text>
        <r>
          <rPr>
            <b/>
            <sz val="9"/>
            <color indexed="81"/>
            <rFont val="Tahoma"/>
            <family val="2"/>
          </rPr>
          <t>Calidad Gloria Amparo Sanchez:</t>
        </r>
        <r>
          <rPr>
            <sz val="9"/>
            <color indexed="81"/>
            <rFont val="Tahoma"/>
            <family val="2"/>
          </rPr>
          <t xml:space="preserve">
OBSERVACIÓN : 1</t>
        </r>
      </text>
    </comment>
    <comment ref="U9" authorId="1" shapeId="0">
      <text>
        <r>
          <rPr>
            <b/>
            <sz val="9"/>
            <color indexed="81"/>
            <rFont val="Tahoma"/>
            <family val="2"/>
          </rPr>
          <t>Calidad Gloria Amparo Sanchez:</t>
        </r>
        <r>
          <rPr>
            <sz val="9"/>
            <color indexed="81"/>
            <rFont val="Tahoma"/>
            <family val="2"/>
          </rPr>
          <t xml:space="preserve">
OBSERVACIÓN : 1</t>
        </r>
      </text>
    </comment>
    <comment ref="V9" authorId="1" shapeId="0">
      <text>
        <r>
          <rPr>
            <b/>
            <sz val="9"/>
            <color indexed="81"/>
            <rFont val="Tahoma"/>
            <family val="2"/>
          </rPr>
          <t>Calidad Gloria Amp4ro Sanchez:</t>
        </r>
        <r>
          <rPr>
            <sz val="9"/>
            <color indexed="81"/>
            <rFont val="Tahoma"/>
            <family val="2"/>
          </rPr>
          <t xml:space="preserve">
OBS:1</t>
        </r>
      </text>
    </comment>
    <comment ref="W9" authorId="1" shapeId="0">
      <text>
        <r>
          <rPr>
            <b/>
            <sz val="9"/>
            <color indexed="81"/>
            <rFont val="Tahoma"/>
            <family val="2"/>
          </rPr>
          <t>Calidad Gloria Amparo Sanchez:</t>
        </r>
        <r>
          <rPr>
            <sz val="9"/>
            <color indexed="81"/>
            <rFont val="Tahoma"/>
            <family val="2"/>
          </rPr>
          <t xml:space="preserve">
OBSERVACIÓN : 1</t>
        </r>
      </text>
    </comment>
    <comment ref="X9" authorId="3" shapeId="0">
      <text>
        <r>
          <rPr>
            <b/>
            <sz val="9"/>
            <color indexed="81"/>
            <rFont val="Tahoma"/>
            <family val="2"/>
          </rPr>
          <t>Beatriz E. Duran G.:</t>
        </r>
        <r>
          <rPr>
            <sz val="9"/>
            <color indexed="81"/>
            <rFont val="Tahoma"/>
            <family val="2"/>
          </rPr>
          <t xml:space="preserve">
3 OBSERVACIONES </t>
        </r>
      </text>
    </comment>
    <comment ref="AB9" authorId="2" shapeId="0">
      <text>
        <r>
          <rPr>
            <b/>
            <sz val="9"/>
            <color indexed="81"/>
            <rFont val="Tahoma"/>
            <family val="2"/>
          </rPr>
          <t>Docente:</t>
        </r>
        <r>
          <rPr>
            <sz val="9"/>
            <color indexed="81"/>
            <rFont val="Tahoma"/>
            <family val="2"/>
          </rPr>
          <t xml:space="preserve">
2 OBS</t>
        </r>
      </text>
    </comment>
    <comment ref="AC9" authorId="2" shapeId="0">
      <text>
        <r>
          <rPr>
            <b/>
            <sz val="9"/>
            <color indexed="81"/>
            <rFont val="Tahoma"/>
            <family val="2"/>
          </rPr>
          <t>Docente:</t>
        </r>
        <r>
          <rPr>
            <sz val="9"/>
            <color indexed="81"/>
            <rFont val="Tahoma"/>
            <family val="2"/>
          </rPr>
          <t xml:space="preserve">
2 OBS</t>
        </r>
      </text>
    </comment>
    <comment ref="AH9" authorId="5" shapeId="0">
      <text>
        <r>
          <rPr>
            <b/>
            <sz val="9"/>
            <color indexed="81"/>
            <rFont val="Tahoma"/>
            <family val="2"/>
          </rPr>
          <t>Gloria Amparo Sanchez:</t>
        </r>
        <r>
          <rPr>
            <sz val="9"/>
            <color indexed="81"/>
            <rFont val="Tahoma"/>
            <family val="2"/>
          </rPr>
          <t xml:space="preserve">
Observaciones 7: con </t>
        </r>
      </text>
    </comment>
    <comment ref="L10" authorId="0" shapeId="0">
      <text>
        <r>
          <rPr>
            <b/>
            <sz val="8"/>
            <color indexed="81"/>
            <rFont val="Tahoma"/>
            <family val="2"/>
          </rPr>
          <t>sistemas:</t>
        </r>
        <r>
          <rPr>
            <sz val="8"/>
            <color indexed="81"/>
            <rFont val="Tahoma"/>
            <family val="2"/>
          </rPr>
          <t xml:space="preserve">
OBSERVACIONES: 1</t>
        </r>
      </text>
    </comment>
    <comment ref="N10" authorId="0" shapeId="0">
      <text>
        <r>
          <rPr>
            <b/>
            <sz val="8"/>
            <color indexed="81"/>
            <rFont val="Tahoma"/>
            <family val="2"/>
          </rPr>
          <t>sistemas:</t>
        </r>
        <r>
          <rPr>
            <sz val="8"/>
            <color indexed="81"/>
            <rFont val="Tahoma"/>
            <family val="2"/>
          </rPr>
          <t xml:space="preserve">
OBSERVACIONES: 3
</t>
        </r>
      </text>
    </comment>
    <comment ref="P10" authorId="0" shapeId="0">
      <text>
        <r>
          <rPr>
            <b/>
            <sz val="8"/>
            <color indexed="81"/>
            <rFont val="Tahoma"/>
            <family val="2"/>
          </rPr>
          <t>sistemas:</t>
        </r>
        <r>
          <rPr>
            <sz val="8"/>
            <color indexed="81"/>
            <rFont val="Tahoma"/>
            <family val="2"/>
          </rPr>
          <t xml:space="preserve">
</t>
        </r>
        <r>
          <rPr>
            <sz val="11"/>
            <color indexed="81"/>
            <rFont val="Tahoma"/>
            <family val="2"/>
          </rPr>
          <t>sistemas:
OBS: 1</t>
        </r>
      </text>
    </comment>
    <comment ref="Q10" authorId="1" shapeId="0">
      <text>
        <r>
          <rPr>
            <b/>
            <sz val="9"/>
            <color indexed="81"/>
            <rFont val="Tahoma"/>
            <family val="2"/>
          </rPr>
          <t>Calidad Gloria Amparo Sanchez:</t>
        </r>
        <r>
          <rPr>
            <sz val="9"/>
            <color indexed="81"/>
            <rFont val="Tahoma"/>
            <family val="2"/>
          </rPr>
          <t xml:space="preserve">
OBS: 1</t>
        </r>
      </text>
    </comment>
    <comment ref="R10" authorId="1" shapeId="0">
      <text>
        <r>
          <rPr>
            <b/>
            <sz val="9"/>
            <color indexed="81"/>
            <rFont val="Tahoma"/>
            <family val="2"/>
          </rPr>
          <t>Calidad Gloria Amparo Sanchez:</t>
        </r>
        <r>
          <rPr>
            <sz val="9"/>
            <color indexed="81"/>
            <rFont val="Tahoma"/>
            <family val="2"/>
          </rPr>
          <t xml:space="preserve">
OBS: 1</t>
        </r>
      </text>
    </comment>
    <comment ref="AB10" authorId="2" shapeId="0">
      <text>
        <r>
          <rPr>
            <b/>
            <sz val="9"/>
            <color indexed="81"/>
            <rFont val="Tahoma"/>
            <family val="2"/>
          </rPr>
          <t>Docente:</t>
        </r>
        <r>
          <rPr>
            <sz val="9"/>
            <color indexed="81"/>
            <rFont val="Tahoma"/>
            <family val="2"/>
          </rPr>
          <t xml:space="preserve">
1 OBS</t>
        </r>
      </text>
    </comment>
    <comment ref="L11" authorId="0" shapeId="0">
      <text>
        <r>
          <rPr>
            <b/>
            <sz val="8"/>
            <color indexed="81"/>
            <rFont val="Tahoma"/>
            <family val="2"/>
          </rPr>
          <t>sistemas:</t>
        </r>
        <r>
          <rPr>
            <sz val="8"/>
            <color indexed="81"/>
            <rFont val="Tahoma"/>
            <family val="2"/>
          </rPr>
          <t xml:space="preserve">
OBSERVACIONES: 1</t>
        </r>
      </text>
    </comment>
    <comment ref="N11" authorId="0" shapeId="0">
      <text>
        <r>
          <rPr>
            <b/>
            <sz val="8"/>
            <color indexed="81"/>
            <rFont val="Tahoma"/>
            <family val="2"/>
          </rPr>
          <t>sistemas:</t>
        </r>
        <r>
          <rPr>
            <sz val="8"/>
            <color indexed="81"/>
            <rFont val="Tahoma"/>
            <family val="2"/>
          </rPr>
          <t xml:space="preserve">
OBSERVACIONES: 2</t>
        </r>
      </text>
    </comment>
    <comment ref="R11" authorId="1" shapeId="0">
      <text>
        <r>
          <rPr>
            <b/>
            <sz val="9"/>
            <color indexed="81"/>
            <rFont val="Tahoma"/>
            <family val="2"/>
          </rPr>
          <t>Calidad Gloria Amparo Sanchez:</t>
        </r>
        <r>
          <rPr>
            <sz val="9"/>
            <color indexed="81"/>
            <rFont val="Tahoma"/>
            <family val="2"/>
          </rPr>
          <t xml:space="preserve">
OBS: 2</t>
        </r>
      </text>
    </comment>
    <comment ref="U11" authorId="1" shapeId="0">
      <text>
        <r>
          <rPr>
            <b/>
            <sz val="9"/>
            <color indexed="81"/>
            <rFont val="Tahoma"/>
            <family val="2"/>
          </rPr>
          <t>Calidad Gloria Amparo Sanchez:</t>
        </r>
        <r>
          <rPr>
            <sz val="9"/>
            <color indexed="81"/>
            <rFont val="Tahoma"/>
            <family val="2"/>
          </rPr>
          <t xml:space="preserve">
OBSERVACIÓN : 1</t>
        </r>
      </text>
    </comment>
    <comment ref="V11" authorId="1" shapeId="0">
      <text>
        <r>
          <rPr>
            <b/>
            <sz val="9"/>
            <color indexed="81"/>
            <rFont val="Tahoma"/>
            <family val="2"/>
          </rPr>
          <t>Calidad Gloria Amparo Sanchez:</t>
        </r>
        <r>
          <rPr>
            <sz val="9"/>
            <color indexed="81"/>
            <rFont val="Tahoma"/>
            <family val="2"/>
          </rPr>
          <t xml:space="preserve">
OBS:2</t>
        </r>
      </text>
    </comment>
    <comment ref="W11" authorId="1" shapeId="0">
      <text>
        <r>
          <rPr>
            <b/>
            <sz val="9"/>
            <color indexed="81"/>
            <rFont val="Tahoma"/>
            <family val="2"/>
          </rPr>
          <t>Calidad Gloria Amparo Sanchez:</t>
        </r>
        <r>
          <rPr>
            <sz val="9"/>
            <color indexed="81"/>
            <rFont val="Tahoma"/>
            <family val="2"/>
          </rPr>
          <t xml:space="preserve">
OBSERVACIÓN : 1</t>
        </r>
      </text>
    </comment>
    <comment ref="AB11" authorId="2" shapeId="0">
      <text>
        <r>
          <rPr>
            <b/>
            <sz val="9"/>
            <color indexed="81"/>
            <rFont val="Tahoma"/>
            <family val="2"/>
          </rPr>
          <t>Docente:</t>
        </r>
        <r>
          <rPr>
            <sz val="9"/>
            <color indexed="81"/>
            <rFont val="Tahoma"/>
            <family val="2"/>
          </rPr>
          <t xml:space="preserve">
1 OBS</t>
        </r>
      </text>
    </comment>
    <comment ref="AE11" authorId="4" shapeId="0">
      <text>
        <r>
          <rPr>
            <b/>
            <sz val="16"/>
            <color indexed="81"/>
            <rFont val="Tahoma"/>
            <family val="2"/>
          </rPr>
          <t>Gloria A. Sanchez M.:</t>
        </r>
        <r>
          <rPr>
            <sz val="16"/>
            <color indexed="81"/>
            <rFont val="Tahoma"/>
            <family val="2"/>
          </rPr>
          <t xml:space="preserve">
Observaciones 2</t>
        </r>
      </text>
    </comment>
    <comment ref="L12" authorId="0" shapeId="0">
      <text>
        <r>
          <rPr>
            <b/>
            <sz val="8"/>
            <color indexed="81"/>
            <rFont val="Tahoma"/>
            <family val="2"/>
          </rPr>
          <t>sistemas:</t>
        </r>
        <r>
          <rPr>
            <sz val="8"/>
            <color indexed="81"/>
            <rFont val="Tahoma"/>
            <family val="2"/>
          </rPr>
          <t xml:space="preserve">
OBSERVACIONES: 1</t>
        </r>
      </text>
    </comment>
    <comment ref="N12" authorId="0" shapeId="0">
      <text>
        <r>
          <rPr>
            <b/>
            <sz val="8"/>
            <color indexed="81"/>
            <rFont val="Tahoma"/>
            <family val="2"/>
          </rPr>
          <t>sistemas:</t>
        </r>
        <r>
          <rPr>
            <sz val="8"/>
            <color indexed="81"/>
            <rFont val="Tahoma"/>
            <family val="2"/>
          </rPr>
          <t xml:space="preserve">
OBSERVACIONES: 1</t>
        </r>
      </text>
    </comment>
    <comment ref="Q12" authorId="1" shapeId="0">
      <text>
        <r>
          <rPr>
            <b/>
            <sz val="9"/>
            <color indexed="81"/>
            <rFont val="Tahoma"/>
            <family val="2"/>
          </rPr>
          <t>Calidad Gloria Amparo Sanchez:</t>
        </r>
        <r>
          <rPr>
            <sz val="9"/>
            <color indexed="81"/>
            <rFont val="Tahoma"/>
            <family val="2"/>
          </rPr>
          <t xml:space="preserve">
OBS: 1</t>
        </r>
      </text>
    </comment>
    <comment ref="R12" authorId="1" shapeId="0">
      <text>
        <r>
          <rPr>
            <b/>
            <sz val="9"/>
            <color indexed="81"/>
            <rFont val="Tahoma"/>
            <family val="2"/>
          </rPr>
          <t>Calidad Gloria Amparo Sanchez:</t>
        </r>
        <r>
          <rPr>
            <sz val="9"/>
            <color indexed="81"/>
            <rFont val="Tahoma"/>
            <family val="2"/>
          </rPr>
          <t xml:space="preserve">
OBS: 1</t>
        </r>
      </text>
    </comment>
    <comment ref="S12" authorId="1" shapeId="0">
      <text>
        <r>
          <rPr>
            <b/>
            <sz val="9"/>
            <color indexed="81"/>
            <rFont val="Tahoma"/>
            <family val="2"/>
          </rPr>
          <t>Calidad Gloria Amparo Sanchez:</t>
        </r>
        <r>
          <rPr>
            <sz val="9"/>
            <color indexed="81"/>
            <rFont val="Tahoma"/>
            <family val="2"/>
          </rPr>
          <t xml:space="preserve">
OBS: 1</t>
        </r>
      </text>
    </comment>
    <comment ref="T12" authorId="1" shapeId="0">
      <text>
        <r>
          <rPr>
            <b/>
            <sz val="9"/>
            <color indexed="81"/>
            <rFont val="Tahoma"/>
            <family val="2"/>
          </rPr>
          <t>Calidad Gloria Amparo Sanchez:</t>
        </r>
        <r>
          <rPr>
            <sz val="9"/>
            <color indexed="81"/>
            <rFont val="Tahoma"/>
            <family val="2"/>
          </rPr>
          <t xml:space="preserve">
OBS: 1</t>
        </r>
      </text>
    </comment>
    <comment ref="X12" authorId="3" shapeId="0">
      <text>
        <r>
          <rPr>
            <b/>
            <sz val="9"/>
            <color indexed="81"/>
            <rFont val="Tahoma"/>
            <family val="2"/>
          </rPr>
          <t>Beatriz E. Duran G.:</t>
        </r>
        <r>
          <rPr>
            <sz val="9"/>
            <color indexed="81"/>
            <rFont val="Tahoma"/>
            <family val="2"/>
          </rPr>
          <t xml:space="preserve">
1  OBSERVACIÓN </t>
        </r>
      </text>
    </comment>
    <comment ref="AD12" authorId="4" shapeId="0">
      <text>
        <r>
          <rPr>
            <b/>
            <sz val="9"/>
            <color indexed="81"/>
            <rFont val="Tahoma"/>
            <family val="2"/>
          </rPr>
          <t>Gloria A. Sanchez M.:</t>
        </r>
        <r>
          <rPr>
            <sz val="9"/>
            <color indexed="81"/>
            <rFont val="Tahoma"/>
            <family val="2"/>
          </rPr>
          <t xml:space="preserve">
1 OBS</t>
        </r>
      </text>
    </comment>
    <comment ref="L13" authorId="0" shapeId="0">
      <text>
        <r>
          <rPr>
            <b/>
            <sz val="8"/>
            <color indexed="81"/>
            <rFont val="Tahoma"/>
            <family val="2"/>
          </rPr>
          <t>sistemas:</t>
        </r>
        <r>
          <rPr>
            <sz val="8"/>
            <color indexed="81"/>
            <rFont val="Tahoma"/>
            <family val="2"/>
          </rPr>
          <t xml:space="preserve">
OBSERVACIONES: 5</t>
        </r>
      </text>
    </comment>
    <comment ref="N13" authorId="0" shapeId="0">
      <text>
        <r>
          <rPr>
            <b/>
            <sz val="8"/>
            <color indexed="81"/>
            <rFont val="Tahoma"/>
            <family val="2"/>
          </rPr>
          <t>sistemas:</t>
        </r>
        <r>
          <rPr>
            <sz val="8"/>
            <color indexed="81"/>
            <rFont val="Tahoma"/>
            <family val="2"/>
          </rPr>
          <t xml:space="preserve">
OBSERVACIONES: 3</t>
        </r>
      </text>
    </comment>
    <comment ref="Q13" authorId="1" shapeId="0">
      <text>
        <r>
          <rPr>
            <b/>
            <sz val="9"/>
            <color indexed="81"/>
            <rFont val="Tahoma"/>
            <family val="2"/>
          </rPr>
          <t>Calidad Gloria Amparo Sanchez:</t>
        </r>
        <r>
          <rPr>
            <sz val="9"/>
            <color indexed="81"/>
            <rFont val="Tahoma"/>
            <family val="2"/>
          </rPr>
          <t xml:space="preserve">
OBS: 1</t>
        </r>
      </text>
    </comment>
    <comment ref="T13" authorId="1" shapeId="0">
      <text>
        <r>
          <rPr>
            <b/>
            <sz val="9"/>
            <color indexed="81"/>
            <rFont val="Tahoma"/>
            <family val="2"/>
          </rPr>
          <t>Calidad Gloria Amparo Sanchez:</t>
        </r>
        <r>
          <rPr>
            <sz val="9"/>
            <color indexed="81"/>
            <rFont val="Tahoma"/>
            <family val="2"/>
          </rPr>
          <t xml:space="preserve">
OBS: 2</t>
        </r>
      </text>
    </comment>
    <comment ref="L14" authorId="0" shapeId="0">
      <text>
        <r>
          <rPr>
            <b/>
            <sz val="8"/>
            <color indexed="81"/>
            <rFont val="Tahoma"/>
            <family val="2"/>
          </rPr>
          <t>sistemas:</t>
        </r>
        <r>
          <rPr>
            <sz val="8"/>
            <color indexed="81"/>
            <rFont val="Tahoma"/>
            <family val="2"/>
          </rPr>
          <t xml:space="preserve">
OBSERVACIONES: 3</t>
        </r>
      </text>
    </comment>
    <comment ref="N14" authorId="0" shapeId="0">
      <text>
        <r>
          <rPr>
            <b/>
            <sz val="8"/>
            <color indexed="81"/>
            <rFont val="Tahoma"/>
            <family val="2"/>
          </rPr>
          <t>sistemas:</t>
        </r>
        <r>
          <rPr>
            <sz val="8"/>
            <color indexed="81"/>
            <rFont val="Tahoma"/>
            <family val="2"/>
          </rPr>
          <t xml:space="preserve">
OBSERVACIONES: 3</t>
        </r>
      </text>
    </comment>
    <comment ref="O14" authorId="0" shapeId="0">
      <text>
        <r>
          <rPr>
            <b/>
            <sz val="8"/>
            <color indexed="81"/>
            <rFont val="Tahoma"/>
            <family val="2"/>
          </rPr>
          <t>sistemas:</t>
        </r>
        <r>
          <rPr>
            <sz val="8"/>
            <color indexed="81"/>
            <rFont val="Tahoma"/>
            <family val="2"/>
          </rPr>
          <t xml:space="preserve">
OBSERVACIONES: 1</t>
        </r>
      </text>
    </comment>
    <comment ref="P14" authorId="0" shapeId="0">
      <text>
        <r>
          <rPr>
            <b/>
            <sz val="8"/>
            <color indexed="81"/>
            <rFont val="Tahoma"/>
            <family val="2"/>
          </rPr>
          <t>sistemas:</t>
        </r>
        <r>
          <rPr>
            <sz val="8"/>
            <color indexed="81"/>
            <rFont val="Tahoma"/>
            <family val="2"/>
          </rPr>
          <t xml:space="preserve">
</t>
        </r>
        <r>
          <rPr>
            <b/>
            <sz val="10"/>
            <color indexed="81"/>
            <rFont val="Tahoma"/>
            <family val="2"/>
          </rPr>
          <t>sistemas:
OBS: 2</t>
        </r>
      </text>
    </comment>
    <comment ref="Q14" authorId="1" shapeId="0">
      <text>
        <r>
          <rPr>
            <b/>
            <sz val="9"/>
            <color indexed="81"/>
            <rFont val="Tahoma"/>
            <family val="2"/>
          </rPr>
          <t>Calidad Gloria Amparo Sanchez:</t>
        </r>
        <r>
          <rPr>
            <sz val="9"/>
            <color indexed="81"/>
            <rFont val="Tahoma"/>
            <family val="2"/>
          </rPr>
          <t xml:space="preserve">
OBS: 1</t>
        </r>
      </text>
    </comment>
    <comment ref="R14" authorId="1" shapeId="0">
      <text>
        <r>
          <rPr>
            <b/>
            <sz val="9"/>
            <color indexed="81"/>
            <rFont val="Tahoma"/>
            <family val="2"/>
          </rPr>
          <t>Calidad Gloria Amparo Sanchez:</t>
        </r>
        <r>
          <rPr>
            <sz val="9"/>
            <color indexed="81"/>
            <rFont val="Tahoma"/>
            <family val="2"/>
          </rPr>
          <t xml:space="preserve">
OBS: 2</t>
        </r>
      </text>
    </comment>
    <comment ref="S14" authorId="1" shapeId="0">
      <text>
        <r>
          <rPr>
            <b/>
            <sz val="9"/>
            <color indexed="81"/>
            <rFont val="Tahoma"/>
            <family val="2"/>
          </rPr>
          <t>Calidad Gloria Amparo Sanchez:</t>
        </r>
        <r>
          <rPr>
            <sz val="9"/>
            <color indexed="81"/>
            <rFont val="Tahoma"/>
            <family val="2"/>
          </rPr>
          <t xml:space="preserve">
OBS: 1</t>
        </r>
      </text>
    </comment>
    <comment ref="T14" authorId="1" shapeId="0">
      <text>
        <r>
          <rPr>
            <b/>
            <sz val="9"/>
            <color indexed="81"/>
            <rFont val="Tahoma"/>
            <family val="2"/>
          </rPr>
          <t>Calidad Gloria Amparo Sanchez:</t>
        </r>
        <r>
          <rPr>
            <sz val="9"/>
            <color indexed="81"/>
            <rFont val="Tahoma"/>
            <family val="2"/>
          </rPr>
          <t xml:space="preserve">
OBS: 2</t>
        </r>
      </text>
    </comment>
    <comment ref="U14" authorId="1" shapeId="0">
      <text>
        <r>
          <rPr>
            <b/>
            <sz val="9"/>
            <color indexed="81"/>
            <rFont val="Tahoma"/>
            <family val="2"/>
          </rPr>
          <t>Calidad Gloria Amparo Sanchez:</t>
        </r>
        <r>
          <rPr>
            <sz val="9"/>
            <color indexed="81"/>
            <rFont val="Tahoma"/>
            <family val="2"/>
          </rPr>
          <t xml:space="preserve">
OBS: 3</t>
        </r>
      </text>
    </comment>
    <comment ref="W14" authorId="1" shapeId="0">
      <text>
        <r>
          <rPr>
            <b/>
            <sz val="9"/>
            <color indexed="81"/>
            <rFont val="Tahoma"/>
            <family val="2"/>
          </rPr>
          <t>Calidad Gloria Amparo Sanchez:</t>
        </r>
        <r>
          <rPr>
            <sz val="9"/>
            <color indexed="81"/>
            <rFont val="Tahoma"/>
            <family val="2"/>
          </rPr>
          <t xml:space="preserve">
OBS: 3</t>
        </r>
      </text>
    </comment>
    <comment ref="X14" authorId="3" shapeId="0">
      <text>
        <r>
          <rPr>
            <b/>
            <sz val="9"/>
            <color indexed="81"/>
            <rFont val="Tahoma"/>
            <family val="2"/>
          </rPr>
          <t>Beatriz E. Duran G.:</t>
        </r>
        <r>
          <rPr>
            <sz val="9"/>
            <color indexed="81"/>
            <rFont val="Tahoma"/>
            <family val="2"/>
          </rPr>
          <t xml:space="preserve">
4 OBSERVACIONES </t>
        </r>
      </text>
    </comment>
    <comment ref="Y14" authorId="3" shapeId="0">
      <text>
        <r>
          <rPr>
            <b/>
            <sz val="9"/>
            <color indexed="81"/>
            <rFont val="Tahoma"/>
            <family val="2"/>
          </rPr>
          <t>Beatriz E. Duran G.:</t>
        </r>
        <r>
          <rPr>
            <sz val="9"/>
            <color indexed="81"/>
            <rFont val="Tahoma"/>
            <family val="2"/>
          </rPr>
          <t xml:space="preserve">
3  OBSERVACIONES </t>
        </r>
      </text>
    </comment>
    <comment ref="AB14" authorId="2" shapeId="0">
      <text>
        <r>
          <rPr>
            <b/>
            <sz val="9"/>
            <color indexed="81"/>
            <rFont val="Tahoma"/>
            <family val="2"/>
          </rPr>
          <t>Docente:</t>
        </r>
        <r>
          <rPr>
            <sz val="9"/>
            <color indexed="81"/>
            <rFont val="Tahoma"/>
            <family val="2"/>
          </rPr>
          <t xml:space="preserve">
4  OBS</t>
        </r>
      </text>
    </comment>
    <comment ref="AC14" authorId="2" shapeId="0">
      <text>
        <r>
          <rPr>
            <b/>
            <sz val="9"/>
            <color indexed="81"/>
            <rFont val="Tahoma"/>
            <family val="2"/>
          </rPr>
          <t>Docente:</t>
        </r>
        <r>
          <rPr>
            <sz val="9"/>
            <color indexed="81"/>
            <rFont val="Tahoma"/>
            <family val="2"/>
          </rPr>
          <t xml:space="preserve">
3 OBS</t>
        </r>
      </text>
    </comment>
    <comment ref="AD14" authorId="2" shapeId="0">
      <text>
        <r>
          <rPr>
            <b/>
            <sz val="9"/>
            <color indexed="81"/>
            <rFont val="Tahoma"/>
            <family val="2"/>
          </rPr>
          <t>Docente:</t>
        </r>
        <r>
          <rPr>
            <sz val="9"/>
            <color indexed="81"/>
            <rFont val="Tahoma"/>
            <family val="2"/>
          </rPr>
          <t xml:space="preserve">
2  OBS</t>
        </r>
      </text>
    </comment>
    <comment ref="AE14" authorId="4" shapeId="0">
      <text>
        <r>
          <rPr>
            <b/>
            <sz val="16"/>
            <color indexed="81"/>
            <rFont val="Tahoma"/>
            <family val="2"/>
          </rPr>
          <t>Gloria A. Sanchez M.:</t>
        </r>
        <r>
          <rPr>
            <sz val="16"/>
            <color indexed="81"/>
            <rFont val="Tahoma"/>
            <family val="2"/>
          </rPr>
          <t xml:space="preserve">
Observaciones 1</t>
        </r>
      </text>
    </comment>
    <comment ref="V15" authorId="1" shapeId="0">
      <text>
        <r>
          <rPr>
            <b/>
            <sz val="9"/>
            <color indexed="81"/>
            <rFont val="Tahoma"/>
            <family val="2"/>
          </rPr>
          <t>Calidad Gloria Amparo Sanchez:</t>
        </r>
        <r>
          <rPr>
            <sz val="9"/>
            <color indexed="81"/>
            <rFont val="Tahoma"/>
            <family val="2"/>
          </rPr>
          <t xml:space="preserve">
OBS: 6</t>
        </r>
      </text>
    </comment>
    <comment ref="AB15" authorId="2" shapeId="0">
      <text>
        <r>
          <rPr>
            <b/>
            <sz val="9"/>
            <color indexed="81"/>
            <rFont val="Tahoma"/>
            <family val="2"/>
          </rPr>
          <t>Docente:</t>
        </r>
        <r>
          <rPr>
            <sz val="9"/>
            <color indexed="81"/>
            <rFont val="Tahoma"/>
            <family val="2"/>
          </rPr>
          <t xml:space="preserve">
4 OBS</t>
        </r>
      </text>
    </comment>
    <comment ref="AC15" authorId="2" shapeId="0">
      <text>
        <r>
          <rPr>
            <b/>
            <sz val="9"/>
            <color indexed="81"/>
            <rFont val="Tahoma"/>
            <family val="2"/>
          </rPr>
          <t>Docente:</t>
        </r>
        <r>
          <rPr>
            <sz val="9"/>
            <color indexed="81"/>
            <rFont val="Tahoma"/>
            <family val="2"/>
          </rPr>
          <t xml:space="preserve">
2 OBS</t>
        </r>
      </text>
    </comment>
    <comment ref="AD15" authorId="2" shapeId="0">
      <text>
        <r>
          <rPr>
            <b/>
            <sz val="9"/>
            <color indexed="81"/>
            <rFont val="Tahoma"/>
            <family val="2"/>
          </rPr>
          <t>Docente:</t>
        </r>
        <r>
          <rPr>
            <sz val="9"/>
            <color indexed="81"/>
            <rFont val="Tahoma"/>
            <family val="2"/>
          </rPr>
          <t xml:space="preserve">
7  OBS</t>
        </r>
      </text>
    </comment>
    <comment ref="X16" authorId="3" shapeId="0">
      <text>
        <r>
          <rPr>
            <b/>
            <sz val="9"/>
            <color indexed="81"/>
            <rFont val="Tahoma"/>
            <family val="2"/>
          </rPr>
          <t>Beatriz E. Duran G.:</t>
        </r>
        <r>
          <rPr>
            <sz val="9"/>
            <color indexed="81"/>
            <rFont val="Tahoma"/>
            <family val="2"/>
          </rPr>
          <t xml:space="preserve">
3 OBSERVACIIONES </t>
        </r>
      </text>
    </comment>
    <comment ref="AB16" authorId="2" shapeId="0">
      <text>
        <r>
          <rPr>
            <b/>
            <sz val="9"/>
            <color indexed="81"/>
            <rFont val="Tahoma"/>
            <family val="2"/>
          </rPr>
          <t>Docente:</t>
        </r>
        <r>
          <rPr>
            <sz val="9"/>
            <color indexed="81"/>
            <rFont val="Tahoma"/>
            <family val="2"/>
          </rPr>
          <t xml:space="preserve">
8 OBS</t>
        </r>
      </text>
    </comment>
    <comment ref="AC16" authorId="2" shapeId="0">
      <text>
        <r>
          <rPr>
            <b/>
            <sz val="9"/>
            <color indexed="81"/>
            <rFont val="Tahoma"/>
            <family val="2"/>
          </rPr>
          <t>Docente:</t>
        </r>
        <r>
          <rPr>
            <sz val="9"/>
            <color indexed="81"/>
            <rFont val="Tahoma"/>
            <family val="2"/>
          </rPr>
          <t xml:space="preserve">
2 OBS</t>
        </r>
      </text>
    </comment>
    <comment ref="AD16" authorId="2" shapeId="0">
      <text>
        <r>
          <rPr>
            <b/>
            <sz val="9"/>
            <color indexed="81"/>
            <rFont val="Tahoma"/>
            <family val="2"/>
          </rPr>
          <t>Docente:</t>
        </r>
        <r>
          <rPr>
            <sz val="9"/>
            <color indexed="81"/>
            <rFont val="Tahoma"/>
            <family val="2"/>
          </rPr>
          <t xml:space="preserve">
4   OBS</t>
        </r>
      </text>
    </comment>
    <comment ref="AE16" authorId="4" shapeId="0">
      <text>
        <r>
          <rPr>
            <b/>
            <sz val="16"/>
            <color indexed="81"/>
            <rFont val="Tahoma"/>
            <family val="2"/>
          </rPr>
          <t>Gloria A. Sanchez M.:</t>
        </r>
        <r>
          <rPr>
            <sz val="16"/>
            <color indexed="81"/>
            <rFont val="Tahoma"/>
            <family val="2"/>
          </rPr>
          <t xml:space="preserve">
Observaciones 3</t>
        </r>
      </text>
    </comment>
    <comment ref="Y17" authorId="3" shapeId="0">
      <text>
        <r>
          <rPr>
            <b/>
            <sz val="9"/>
            <color indexed="81"/>
            <rFont val="Tahoma"/>
            <family val="2"/>
          </rPr>
          <t>Beatriz E. Duran G.:</t>
        </r>
        <r>
          <rPr>
            <sz val="9"/>
            <color indexed="81"/>
            <rFont val="Tahoma"/>
            <family val="2"/>
          </rPr>
          <t xml:space="preserve">
7 OBSERVACIONES</t>
        </r>
      </text>
    </comment>
    <comment ref="AB17" authorId="2" shapeId="0">
      <text>
        <r>
          <rPr>
            <b/>
            <sz val="9"/>
            <color indexed="81"/>
            <rFont val="Tahoma"/>
            <family val="2"/>
          </rPr>
          <t>Docente:</t>
        </r>
        <r>
          <rPr>
            <sz val="9"/>
            <color indexed="81"/>
            <rFont val="Tahoma"/>
            <family val="2"/>
          </rPr>
          <t xml:space="preserve">
5 OBS</t>
        </r>
      </text>
    </comment>
    <comment ref="AC17" authorId="2" shapeId="0">
      <text>
        <r>
          <rPr>
            <b/>
            <sz val="9"/>
            <color indexed="81"/>
            <rFont val="Tahoma"/>
            <family val="2"/>
          </rPr>
          <t>Docente:</t>
        </r>
        <r>
          <rPr>
            <sz val="9"/>
            <color indexed="81"/>
            <rFont val="Tahoma"/>
            <family val="2"/>
          </rPr>
          <t xml:space="preserve">
3 OBS</t>
        </r>
      </text>
    </comment>
    <comment ref="AD17" authorId="2" shapeId="0">
      <text>
        <r>
          <rPr>
            <b/>
            <sz val="9"/>
            <color indexed="81"/>
            <rFont val="Tahoma"/>
            <family val="2"/>
          </rPr>
          <t>ocente:</t>
        </r>
        <r>
          <rPr>
            <sz val="9"/>
            <color indexed="81"/>
            <rFont val="Tahoma"/>
            <family val="2"/>
          </rPr>
          <t xml:space="preserve">
1  OBS</t>
        </r>
      </text>
    </comment>
    <comment ref="AE17" authorId="4" shapeId="0">
      <text>
        <r>
          <rPr>
            <b/>
            <sz val="16"/>
            <color indexed="81"/>
            <rFont val="Tahoma"/>
            <family val="2"/>
          </rPr>
          <t>Gloria A. Sanchez M.:</t>
        </r>
        <r>
          <rPr>
            <sz val="16"/>
            <color indexed="81"/>
            <rFont val="Tahoma"/>
            <family val="2"/>
          </rPr>
          <t xml:space="preserve">
Observaciones 3</t>
        </r>
      </text>
    </comment>
    <comment ref="X18" authorId="3" shapeId="0">
      <text>
        <r>
          <rPr>
            <b/>
            <sz val="9"/>
            <color indexed="81"/>
            <rFont val="Tahoma"/>
            <family val="2"/>
          </rPr>
          <t>Beatriz E. Duran G.:</t>
        </r>
        <r>
          <rPr>
            <sz val="9"/>
            <color indexed="81"/>
            <rFont val="Tahoma"/>
            <family val="2"/>
          </rPr>
          <t xml:space="preserve">
3  OBSERVACIONES </t>
        </r>
      </text>
    </comment>
    <comment ref="Y18" authorId="3" shapeId="0">
      <text>
        <r>
          <rPr>
            <b/>
            <sz val="9"/>
            <color indexed="81"/>
            <rFont val="Tahoma"/>
            <family val="2"/>
          </rPr>
          <t>Beatriz E. Duran G.:</t>
        </r>
        <r>
          <rPr>
            <sz val="9"/>
            <color indexed="81"/>
            <rFont val="Tahoma"/>
            <family val="2"/>
          </rPr>
          <t xml:space="preserve">
1  OBSERVACIÓN  </t>
        </r>
      </text>
    </comment>
    <comment ref="AB18" authorId="2" shapeId="0">
      <text>
        <r>
          <rPr>
            <b/>
            <sz val="9"/>
            <color indexed="81"/>
            <rFont val="Tahoma"/>
            <family val="2"/>
          </rPr>
          <t>Docente:</t>
        </r>
        <r>
          <rPr>
            <sz val="9"/>
            <color indexed="81"/>
            <rFont val="Tahoma"/>
            <family val="2"/>
          </rPr>
          <t xml:space="preserve">
5 OBS</t>
        </r>
      </text>
    </comment>
    <comment ref="AD18" authorId="4" shapeId="0">
      <text>
        <r>
          <rPr>
            <b/>
            <sz val="9"/>
            <color indexed="81"/>
            <rFont val="Tahoma"/>
            <family val="2"/>
          </rPr>
          <t>Gloria A. Sanchez M.:</t>
        </r>
        <r>
          <rPr>
            <sz val="9"/>
            <color indexed="81"/>
            <rFont val="Tahoma"/>
            <family val="2"/>
          </rPr>
          <t xml:space="preserve">
2 OBS</t>
        </r>
      </text>
    </comment>
    <comment ref="X19" authorId="3" shapeId="0">
      <text>
        <r>
          <rPr>
            <b/>
            <sz val="9"/>
            <color indexed="81"/>
            <rFont val="Tahoma"/>
            <family val="2"/>
          </rPr>
          <t>Beatriz E. Duran G.:</t>
        </r>
        <r>
          <rPr>
            <sz val="9"/>
            <color indexed="81"/>
            <rFont val="Tahoma"/>
            <family val="2"/>
          </rPr>
          <t xml:space="preserve">
1 OBSERVACION </t>
        </r>
      </text>
    </comment>
    <comment ref="AB19" authorId="2" shapeId="0">
      <text>
        <r>
          <rPr>
            <b/>
            <sz val="9"/>
            <color indexed="81"/>
            <rFont val="Tahoma"/>
            <family val="2"/>
          </rPr>
          <t>Docente:</t>
        </r>
        <r>
          <rPr>
            <sz val="9"/>
            <color indexed="81"/>
            <rFont val="Tahoma"/>
            <family val="2"/>
          </rPr>
          <t xml:space="preserve">
6 OBS</t>
        </r>
      </text>
    </comment>
    <comment ref="AC19" authorId="2" shapeId="0">
      <text>
        <r>
          <rPr>
            <b/>
            <sz val="9"/>
            <color indexed="81"/>
            <rFont val="Tahoma"/>
            <family val="2"/>
          </rPr>
          <t>Docente:</t>
        </r>
        <r>
          <rPr>
            <sz val="9"/>
            <color indexed="81"/>
            <rFont val="Tahoma"/>
            <family val="2"/>
          </rPr>
          <t xml:space="preserve">
2 OBS</t>
        </r>
      </text>
    </comment>
    <comment ref="AD19" authorId="2" shapeId="0">
      <text>
        <r>
          <rPr>
            <b/>
            <sz val="9"/>
            <color indexed="81"/>
            <rFont val="Tahoma"/>
            <family val="2"/>
          </rPr>
          <t>Docente:</t>
        </r>
        <r>
          <rPr>
            <sz val="9"/>
            <color indexed="81"/>
            <rFont val="Tahoma"/>
            <family val="2"/>
          </rPr>
          <t xml:space="preserve">
5 OBS</t>
        </r>
      </text>
    </comment>
    <comment ref="AE19" authorId="4" shapeId="0">
      <text>
        <r>
          <rPr>
            <b/>
            <sz val="16"/>
            <color indexed="81"/>
            <rFont val="Tahoma"/>
            <family val="2"/>
          </rPr>
          <t>Gloria A. Sanchez M.:</t>
        </r>
        <r>
          <rPr>
            <sz val="16"/>
            <color indexed="81"/>
            <rFont val="Tahoma"/>
            <family val="2"/>
          </rPr>
          <t xml:space="preserve">
Observaciones 9</t>
        </r>
      </text>
    </comment>
    <comment ref="Y20" authorId="3" shapeId="0">
      <text>
        <r>
          <rPr>
            <b/>
            <sz val="9"/>
            <color indexed="81"/>
            <rFont val="Tahoma"/>
            <family val="2"/>
          </rPr>
          <t>Beatriz E. Duran G.:</t>
        </r>
        <r>
          <rPr>
            <sz val="9"/>
            <color indexed="81"/>
            <rFont val="Tahoma"/>
            <family val="2"/>
          </rPr>
          <t xml:space="preserve">
6 OBSERVACIONES </t>
        </r>
      </text>
    </comment>
    <comment ref="X21" authorId="3" shapeId="0">
      <text>
        <r>
          <rPr>
            <b/>
            <sz val="9"/>
            <color indexed="81"/>
            <rFont val="Tahoma"/>
            <family val="2"/>
          </rPr>
          <t>Beatriz E. Duran G.:</t>
        </r>
        <r>
          <rPr>
            <sz val="9"/>
            <color indexed="81"/>
            <rFont val="Tahoma"/>
            <family val="2"/>
          </rPr>
          <t xml:space="preserve">
2 OBSERVACIONES </t>
        </r>
      </text>
    </comment>
    <comment ref="V22" authorId="1" shapeId="0">
      <text>
        <r>
          <rPr>
            <b/>
            <sz val="9"/>
            <color indexed="81"/>
            <rFont val="Tahoma"/>
            <family val="2"/>
          </rPr>
          <t>Calidad Gloria Amparo Sanchez:</t>
        </r>
        <r>
          <rPr>
            <sz val="9"/>
            <color indexed="81"/>
            <rFont val="Tahoma"/>
            <family val="2"/>
          </rPr>
          <t xml:space="preserve">
TOTAL OBSERCAIONCES: 18</t>
        </r>
      </text>
    </comment>
    <comment ref="X22" authorId="1" shapeId="0">
      <text>
        <r>
          <rPr>
            <b/>
            <sz val="9"/>
            <color indexed="81"/>
            <rFont val="Tahoma"/>
            <family val="2"/>
          </rPr>
          <t>Calidad Gloria Amparo Sanchez:</t>
        </r>
        <r>
          <rPr>
            <sz val="9"/>
            <color indexed="81"/>
            <rFont val="Tahoma"/>
            <family val="2"/>
          </rPr>
          <t xml:space="preserve">
TOTAL OBSERCAIONCES: 18</t>
        </r>
      </text>
    </comment>
  </commentList>
</comments>
</file>

<file path=xl/comments9.xml><?xml version="1.0" encoding="utf-8"?>
<comments xmlns="http://schemas.openxmlformats.org/spreadsheetml/2006/main">
  <authors>
    <author>Gloria A. Sanchez M.</author>
    <author>Gloria Amparo Sanchez</author>
  </authors>
  <commentList>
    <comment ref="X9" authorId="0" shapeId="0">
      <text>
        <r>
          <rPr>
            <b/>
            <sz val="9"/>
            <color indexed="81"/>
            <rFont val="Tahoma"/>
            <family val="2"/>
          </rPr>
          <t>Gloria A. Sanchez M.:</t>
        </r>
        <r>
          <rPr>
            <sz val="9"/>
            <color indexed="81"/>
            <rFont val="Tahoma"/>
            <family val="2"/>
          </rPr>
          <t xml:space="preserve">
</t>
        </r>
        <r>
          <rPr>
            <sz val="18"/>
            <color indexed="81"/>
            <rFont val="Tahoma"/>
            <family val="2"/>
          </rPr>
          <t>5 OBS</t>
        </r>
      </text>
    </comment>
    <comment ref="X10" authorId="0" shapeId="0">
      <text>
        <r>
          <rPr>
            <b/>
            <sz val="9"/>
            <color indexed="81"/>
            <rFont val="Tahoma"/>
            <family val="2"/>
          </rPr>
          <t>Gloria A. Sanchez M.:</t>
        </r>
        <r>
          <rPr>
            <sz val="9"/>
            <color indexed="81"/>
            <rFont val="Tahoma"/>
            <family val="2"/>
          </rPr>
          <t xml:space="preserve">
</t>
        </r>
        <r>
          <rPr>
            <sz val="16"/>
            <color indexed="81"/>
            <rFont val="Tahoma"/>
            <family val="2"/>
          </rPr>
          <t>1 OBS</t>
        </r>
      </text>
    </comment>
    <comment ref="X11" authorId="0" shapeId="0">
      <text>
        <r>
          <rPr>
            <b/>
            <sz val="9"/>
            <color indexed="81"/>
            <rFont val="Tahoma"/>
            <family val="2"/>
          </rPr>
          <t>Gloria A. Sanchez M.:</t>
        </r>
        <r>
          <rPr>
            <sz val="9"/>
            <color indexed="81"/>
            <rFont val="Tahoma"/>
            <family val="2"/>
          </rPr>
          <t xml:space="preserve">
</t>
        </r>
        <r>
          <rPr>
            <sz val="22"/>
            <color indexed="81"/>
            <rFont val="Tahoma"/>
            <family val="2"/>
          </rPr>
          <t>2</t>
        </r>
        <r>
          <rPr>
            <sz val="16"/>
            <color indexed="81"/>
            <rFont val="Tahoma"/>
            <family val="2"/>
          </rPr>
          <t xml:space="preserve"> OBS</t>
        </r>
      </text>
    </comment>
    <comment ref="Y11" authorId="0" shapeId="0">
      <text>
        <r>
          <rPr>
            <b/>
            <sz val="9"/>
            <color indexed="81"/>
            <rFont val="Tahoma"/>
            <family val="2"/>
          </rPr>
          <t>Gloria A. Sanchez M.:</t>
        </r>
        <r>
          <rPr>
            <sz val="9"/>
            <color indexed="81"/>
            <rFont val="Tahoma"/>
            <family val="2"/>
          </rPr>
          <t xml:space="preserve">
2</t>
        </r>
        <r>
          <rPr>
            <sz val="11"/>
            <color indexed="81"/>
            <rFont val="Tahoma"/>
            <family val="2"/>
          </rPr>
          <t xml:space="preserve"> OBS</t>
        </r>
      </text>
    </comment>
    <comment ref="X12" authorId="0" shapeId="0">
      <text>
        <r>
          <rPr>
            <b/>
            <sz val="9"/>
            <color indexed="81"/>
            <rFont val="Tahoma"/>
            <family val="2"/>
          </rPr>
          <t>Gloria A. Sanchez M.:</t>
        </r>
        <r>
          <rPr>
            <sz val="9"/>
            <color indexed="81"/>
            <rFont val="Tahoma"/>
            <family val="2"/>
          </rPr>
          <t xml:space="preserve">
</t>
        </r>
        <r>
          <rPr>
            <sz val="18"/>
            <color indexed="81"/>
            <rFont val="Tahoma"/>
            <family val="2"/>
          </rPr>
          <t>4</t>
        </r>
        <r>
          <rPr>
            <sz val="16"/>
            <color indexed="81"/>
            <rFont val="Tahoma"/>
            <family val="2"/>
          </rPr>
          <t xml:space="preserve"> OBS</t>
        </r>
      </text>
    </comment>
    <comment ref="V13" authorId="1" shapeId="0">
      <text>
        <r>
          <rPr>
            <b/>
            <sz val="9"/>
            <color indexed="81"/>
            <rFont val="Tahoma"/>
            <family val="2"/>
          </rPr>
          <t>Gloria Amparo Sanchez:</t>
        </r>
        <r>
          <rPr>
            <sz val="9"/>
            <color indexed="81"/>
            <rFont val="Tahoma"/>
            <family val="2"/>
          </rPr>
          <t xml:space="preserve">
Bogotá y Pereira</t>
        </r>
      </text>
    </comment>
    <comment ref="Y14" authorId="0" shapeId="0">
      <text>
        <r>
          <rPr>
            <b/>
            <sz val="9"/>
            <color indexed="81"/>
            <rFont val="Tahoma"/>
            <family val="2"/>
          </rPr>
          <t>Gloria A. Sanchez M.:</t>
        </r>
        <r>
          <rPr>
            <sz val="9"/>
            <color indexed="81"/>
            <rFont val="Tahoma"/>
            <family val="2"/>
          </rPr>
          <t xml:space="preserve">
</t>
        </r>
        <r>
          <rPr>
            <sz val="16"/>
            <color indexed="81"/>
            <rFont val="Tahoma"/>
            <family val="2"/>
          </rPr>
          <t>1 OBS</t>
        </r>
      </text>
    </comment>
    <comment ref="V17" authorId="1" shapeId="0">
      <text>
        <r>
          <rPr>
            <b/>
            <sz val="9"/>
            <color indexed="81"/>
            <rFont val="Tahoma"/>
            <family val="2"/>
          </rPr>
          <t>Gloria Amparo Sanchez:</t>
        </r>
        <r>
          <rPr>
            <sz val="9"/>
            <color indexed="81"/>
            <rFont val="Tahoma"/>
            <family val="2"/>
          </rPr>
          <t xml:space="preserve">
bOGOTÁ</t>
        </r>
      </text>
    </comment>
    <comment ref="X17" authorId="0" shapeId="0">
      <text>
        <r>
          <rPr>
            <b/>
            <sz val="9"/>
            <color indexed="81"/>
            <rFont val="Tahoma"/>
            <family val="2"/>
          </rPr>
          <t>Gloria A. Sanchez M.:</t>
        </r>
        <r>
          <rPr>
            <sz val="9"/>
            <color indexed="81"/>
            <rFont val="Tahoma"/>
            <family val="2"/>
          </rPr>
          <t xml:space="preserve">
</t>
        </r>
        <r>
          <rPr>
            <sz val="18"/>
            <color indexed="81"/>
            <rFont val="Tahoma"/>
            <family val="2"/>
          </rPr>
          <t>3</t>
        </r>
        <r>
          <rPr>
            <sz val="16"/>
            <color indexed="81"/>
            <rFont val="Tahoma"/>
            <family val="2"/>
          </rPr>
          <t xml:space="preserve"> OBS</t>
        </r>
      </text>
    </comment>
    <comment ref="V19" authorId="1" shapeId="0">
      <text>
        <r>
          <rPr>
            <b/>
            <sz val="9"/>
            <color indexed="81"/>
            <rFont val="Tahoma"/>
            <family val="2"/>
          </rPr>
          <t>Gloria Amparo Sanchez:</t>
        </r>
        <r>
          <rPr>
            <sz val="9"/>
            <color indexed="81"/>
            <rFont val="Tahoma"/>
            <family val="2"/>
          </rPr>
          <t xml:space="preserve">
bOGOTÁ</t>
        </r>
      </text>
    </comment>
    <comment ref="Y19" authorId="0" shapeId="0">
      <text>
        <r>
          <rPr>
            <b/>
            <sz val="9"/>
            <color indexed="81"/>
            <rFont val="Tahoma"/>
            <family val="2"/>
          </rPr>
          <t>Gloria A. Sanchez M.:</t>
        </r>
        <r>
          <rPr>
            <sz val="9"/>
            <color indexed="81"/>
            <rFont val="Tahoma"/>
            <family val="2"/>
          </rPr>
          <t xml:space="preserve">
</t>
        </r>
        <r>
          <rPr>
            <sz val="16"/>
            <color indexed="81"/>
            <rFont val="Tahoma"/>
            <family val="2"/>
          </rPr>
          <t>1 OBS</t>
        </r>
      </text>
    </comment>
    <comment ref="Y21" authorId="0" shapeId="0">
      <text>
        <r>
          <rPr>
            <b/>
            <sz val="9"/>
            <color indexed="81"/>
            <rFont val="Tahoma"/>
            <family val="2"/>
          </rPr>
          <t>Gloria A. Sanchez M.:</t>
        </r>
        <r>
          <rPr>
            <sz val="9"/>
            <color indexed="81"/>
            <rFont val="Tahoma"/>
            <family val="2"/>
          </rPr>
          <t xml:space="preserve">
2</t>
        </r>
        <r>
          <rPr>
            <sz val="11"/>
            <color indexed="81"/>
            <rFont val="Tahoma"/>
            <family val="2"/>
          </rPr>
          <t xml:space="preserve"> OBS</t>
        </r>
      </text>
    </comment>
    <comment ref="X22" authorId="0" shapeId="0">
      <text>
        <r>
          <rPr>
            <b/>
            <sz val="9"/>
            <color indexed="81"/>
            <rFont val="Tahoma"/>
            <family val="2"/>
          </rPr>
          <t>Gloria A. Sanchez M.:</t>
        </r>
        <r>
          <rPr>
            <sz val="9"/>
            <color indexed="81"/>
            <rFont val="Tahoma"/>
            <family val="2"/>
          </rPr>
          <t xml:space="preserve">
</t>
        </r>
        <r>
          <rPr>
            <sz val="14"/>
            <color indexed="81"/>
            <rFont val="Tahoma"/>
            <family val="2"/>
          </rPr>
          <t>Total OBS:  15</t>
        </r>
      </text>
    </comment>
    <comment ref="Y22" authorId="0" shapeId="0">
      <text>
        <r>
          <rPr>
            <b/>
            <sz val="9"/>
            <color indexed="81"/>
            <rFont val="Tahoma"/>
            <family val="2"/>
          </rPr>
          <t>Gloria A. Sanchez M.:</t>
        </r>
        <r>
          <rPr>
            <sz val="9"/>
            <color indexed="81"/>
            <rFont val="Tahoma"/>
            <family val="2"/>
          </rPr>
          <t xml:space="preserve">
</t>
        </r>
        <r>
          <rPr>
            <sz val="14"/>
            <color indexed="81"/>
            <rFont val="Tahoma"/>
            <family val="2"/>
          </rPr>
          <t>Total OBS:  6</t>
        </r>
      </text>
    </comment>
  </commentList>
</comments>
</file>

<file path=xl/comments10.xml><?xml version="1.0" encoding="utf-8"?>
<comments xmlns="http://schemas.openxmlformats.org/spreadsheetml/2006/main">
  <authors>
    <author>sistemas</author>
  </authors>
  <commentList>
    <comment ref="A16" authorId="0" shapeId="0">
      <text>
        <r>
          <rPr>
            <b/>
            <sz val="8"/>
            <color indexed="81"/>
            <rFont val="Tahoma"/>
            <family val="2"/>
          </rPr>
          <t>sistemas:</t>
        </r>
        <r>
          <rPr>
            <sz val="8"/>
            <color indexed="81"/>
            <rFont val="Tahoma"/>
            <family val="2"/>
          </rPr>
          <t xml:space="preserve">
</t>
        </r>
      </text>
    </comment>
  </commentList>
</comments>
</file>

<file path=xl/comments11.xml><?xml version="1.0" encoding="utf-8"?>
<comments xmlns="http://schemas.openxmlformats.org/spreadsheetml/2006/main">
  <authors>
    <author>Gloria A. Sanchez M.</author>
    <author>Calidad Gloria Amparo Sanchez</author>
    <author>sistemas</author>
    <author>Docente</author>
    <author>Adriana Patricia</author>
  </authors>
  <commentList>
    <comment ref="D2" authorId="0" shapeId="0">
      <text>
        <r>
          <rPr>
            <b/>
            <sz val="9"/>
            <color indexed="81"/>
            <rFont val="Tahoma"/>
            <family val="2"/>
          </rPr>
          <t>Gloria A. Sanchez M.:</t>
        </r>
        <r>
          <rPr>
            <sz val="9"/>
            <color indexed="81"/>
            <rFont val="Tahoma"/>
            <family val="2"/>
          </rPr>
          <t xml:space="preserve">
2019 -2020: En la Seccional  durante el 2020,  se continuaron mitigando los 33 riesgos  identificados en el año 2019, donde se formularon 107 oportunidades para mitigar o eliminar los riesgos, de las cuales 91 se encuentran cerradas y 16 en proceso para un porcentaje de cumplimiento del 85,05%. Los procesos que mayor número de riesgos identificaron fueron Docencia y Gestión Humana, seguido de Proyección social, servicios generales y  aseguramiento de la calidad. 
Operativo: 17
Cumplimiento: 5
Tecnológico: 3
Estratégico: 5
Reputacional: 2
Legal: 1</t>
        </r>
      </text>
    </comment>
    <comment ref="C3" authorId="1" shapeId="0">
      <text>
        <r>
          <rPr>
            <b/>
            <sz val="9"/>
            <color indexed="81"/>
            <rFont val="Tahoma"/>
            <family val="2"/>
          </rPr>
          <t>Calidad Gloria Amparo Sanchez:</t>
        </r>
        <r>
          <rPr>
            <sz val="9"/>
            <color indexed="81"/>
            <rFont val="Tahoma"/>
            <family val="2"/>
          </rPr>
          <t xml:space="preserve">
En proceso:  10
Cerradas: 66
Total acciones: 76 (86,84%)
</t>
        </r>
      </text>
    </comment>
    <comment ref="D3" authorId="1" shapeId="0">
      <text>
        <r>
          <rPr>
            <b/>
            <sz val="9"/>
            <color indexed="81"/>
            <rFont val="Tahoma"/>
            <family val="2"/>
          </rPr>
          <t>Calidad Gloria Amparo Sanchez:</t>
        </r>
        <r>
          <rPr>
            <sz val="9"/>
            <color indexed="81"/>
            <rFont val="Tahoma"/>
            <family val="2"/>
          </rPr>
          <t xml:space="preserve">
Año 2020
En proceso:  16
Cerradas: 91
Total: 106 (85,05%)
Año 2019
En proceso:  17
Cerradas: 88
Total: 107 (83,81%)
</t>
        </r>
      </text>
    </comment>
    <comment ref="E3" authorId="1" shapeId="0">
      <text>
        <r>
          <rPr>
            <b/>
            <sz val="9"/>
            <color indexed="81"/>
            <rFont val="Tahoma"/>
            <family val="2"/>
          </rPr>
          <t>Calidad Gloria Amparo Sanchez:</t>
        </r>
        <r>
          <rPr>
            <sz val="9"/>
            <color indexed="81"/>
            <rFont val="Tahoma"/>
            <family val="2"/>
          </rPr>
          <t xml:space="preserve">
En proceso:  15
Cerradas: 47
Total: 62 </t>
        </r>
      </text>
    </comment>
    <comment ref="F3" authorId="1" shapeId="0">
      <text>
        <r>
          <rPr>
            <b/>
            <sz val="9"/>
            <color indexed="81"/>
            <rFont val="Tahoma"/>
            <family val="2"/>
          </rPr>
          <t>Calidad Gloria Amparo Sanchez:</t>
        </r>
        <r>
          <rPr>
            <sz val="9"/>
            <color indexed="81"/>
            <rFont val="Tahoma"/>
            <family val="2"/>
          </rPr>
          <t xml:space="preserve">
En proceso:  8
Cerradas: 44
Total: 52 (85%)
</t>
        </r>
      </text>
    </comment>
    <comment ref="G3" authorId="1" shapeId="0">
      <text>
        <r>
          <rPr>
            <b/>
            <sz val="9"/>
            <color indexed="81"/>
            <rFont val="Tahoma"/>
            <family val="2"/>
          </rPr>
          <t>Calidad Gloria Amparo Sanchez:</t>
        </r>
        <r>
          <rPr>
            <sz val="9"/>
            <color indexed="81"/>
            <rFont val="Tahoma"/>
            <family val="2"/>
          </rPr>
          <t xml:space="preserve">
En proceso:  22
Cerradas: 50
Total: 72 (69%)
</t>
        </r>
      </text>
    </comment>
    <comment ref="H3" authorId="1" shapeId="0">
      <text>
        <r>
          <rPr>
            <b/>
            <sz val="9"/>
            <color indexed="81"/>
            <rFont val="Tahoma"/>
            <family val="2"/>
          </rPr>
          <t>Calidad Gloria Amparo Sanchez:</t>
        </r>
        <r>
          <rPr>
            <sz val="9"/>
            <color indexed="81"/>
            <rFont val="Tahoma"/>
            <family val="2"/>
          </rPr>
          <t xml:space="preserve">
En proceso:  22
Cerradas: 53
Total: 75
</t>
        </r>
      </text>
    </comment>
    <comment ref="I3" authorId="1" shapeId="0">
      <text>
        <r>
          <rPr>
            <b/>
            <sz val="9"/>
            <color indexed="81"/>
            <rFont val="Tahoma"/>
            <family val="2"/>
          </rPr>
          <t>Calidad Gloria Amparo Sanchez:</t>
        </r>
        <r>
          <rPr>
            <sz val="9"/>
            <color indexed="81"/>
            <rFont val="Tahoma"/>
            <family val="2"/>
          </rPr>
          <t xml:space="preserve">
En proceso:  51
Cerradas: 64
Total: 115
</t>
        </r>
      </text>
    </comment>
    <comment ref="J3" authorId="1" shapeId="0">
      <text>
        <r>
          <rPr>
            <b/>
            <sz val="9"/>
            <color indexed="81"/>
            <rFont val="Tahoma"/>
            <family val="2"/>
          </rPr>
          <t>Calidad Gloria Amparo Sanchez:</t>
        </r>
        <r>
          <rPr>
            <sz val="9"/>
            <color indexed="81"/>
            <rFont val="Tahoma"/>
            <family val="2"/>
          </rPr>
          <t xml:space="preserve">
En proceso:  71
Cerradas: 41
Total: 112
</t>
        </r>
      </text>
    </comment>
    <comment ref="K3" authorId="1" shapeId="0">
      <text>
        <r>
          <rPr>
            <b/>
            <sz val="9"/>
            <color indexed="81"/>
            <rFont val="Tahoma"/>
            <family val="2"/>
          </rPr>
          <t>Calidad Gloria Amparo Sanchez:</t>
        </r>
        <r>
          <rPr>
            <sz val="9"/>
            <color indexed="81"/>
            <rFont val="Tahoma"/>
            <family val="2"/>
          </rPr>
          <t xml:space="preserve">
En proceso:  15
Cerradas: 47
Total: 62
</t>
        </r>
      </text>
    </comment>
    <comment ref="L3" authorId="1" shapeId="0">
      <text>
        <r>
          <rPr>
            <b/>
            <sz val="9"/>
            <color indexed="81"/>
            <rFont val="Tahoma"/>
            <family val="2"/>
          </rPr>
          <t>Calidad Gloria Amparo Sanchez:</t>
        </r>
        <r>
          <rPr>
            <sz val="9"/>
            <color indexed="81"/>
            <rFont val="Tahoma"/>
            <family val="2"/>
          </rPr>
          <t xml:space="preserve">
En proceso:  23
Cerradas: 39
Total: 62
</t>
        </r>
      </text>
    </comment>
    <comment ref="M3" authorId="2" shapeId="0">
      <text>
        <r>
          <rPr>
            <b/>
            <sz val="10"/>
            <color indexed="81"/>
            <rFont val="Tahoma"/>
            <family val="2"/>
          </rPr>
          <t>sistemas:</t>
        </r>
        <r>
          <rPr>
            <sz val="10"/>
            <color indexed="81"/>
            <rFont val="Tahoma"/>
            <family val="2"/>
          </rPr>
          <t xml:space="preserve">
En proceso:  9
Cerradas: 56
Total: 65
</t>
        </r>
      </text>
    </comment>
    <comment ref="N3" authorId="2" shapeId="0">
      <text>
        <r>
          <rPr>
            <b/>
            <sz val="10"/>
            <color indexed="81"/>
            <rFont val="Tahoma"/>
            <family val="2"/>
          </rPr>
          <t>sistemas:</t>
        </r>
        <r>
          <rPr>
            <sz val="10"/>
            <color indexed="81"/>
            <rFont val="Tahoma"/>
            <family val="2"/>
          </rPr>
          <t xml:space="preserve">
En proceso:  19
Cerradas: 46
Total: 65
</t>
        </r>
      </text>
    </comment>
    <comment ref="O3" authorId="2" shapeId="0">
      <text>
        <r>
          <rPr>
            <b/>
            <sz val="10"/>
            <color indexed="81"/>
            <rFont val="Tahoma"/>
            <family val="2"/>
          </rPr>
          <t>sistemas:</t>
        </r>
        <r>
          <rPr>
            <sz val="10"/>
            <color indexed="81"/>
            <rFont val="Tahoma"/>
            <family val="2"/>
          </rPr>
          <t xml:space="preserve">
En proceso:  16 (25,40%)
Cerradas: 47 (74,60%)
Total: 63</t>
        </r>
      </text>
    </comment>
    <comment ref="P3" authorId="2" shapeId="0">
      <text>
        <r>
          <rPr>
            <b/>
            <sz val="10"/>
            <color indexed="81"/>
            <rFont val="Tahoma"/>
            <family val="2"/>
          </rPr>
          <t>sistemas:</t>
        </r>
        <r>
          <rPr>
            <sz val="10"/>
            <color indexed="81"/>
            <rFont val="Tahoma"/>
            <family val="2"/>
          </rPr>
          <t xml:space="preserve">
En proceso:  16 (13,56%)
Cerradas: 102 (86,44%)
Total: 118</t>
        </r>
      </text>
    </comment>
    <comment ref="Q3" authorId="2" shapeId="0">
      <text>
        <r>
          <rPr>
            <b/>
            <sz val="10"/>
            <color indexed="81"/>
            <rFont val="Tahoma"/>
            <family val="2"/>
          </rPr>
          <t>sistemas:</t>
        </r>
        <r>
          <rPr>
            <sz val="10"/>
            <color indexed="81"/>
            <rFont val="Tahoma"/>
            <family val="2"/>
          </rPr>
          <t xml:space="preserve">
En proceso:  1 (2%)
Cerradas: 50 (98%)
Total: 51</t>
        </r>
      </text>
    </comment>
    <comment ref="R3" authorId="2" shapeId="0">
      <text>
        <r>
          <rPr>
            <b/>
            <sz val="10"/>
            <color indexed="81"/>
            <rFont val="Tahoma"/>
            <family val="2"/>
          </rPr>
          <t>sistemas:</t>
        </r>
        <r>
          <rPr>
            <sz val="10"/>
            <color indexed="81"/>
            <rFont val="Tahoma"/>
            <family val="2"/>
          </rPr>
          <t xml:space="preserve">
En proceso:  14 (8,81%)
Cerradas: 145 (91,19%)
Total: 159</t>
        </r>
      </text>
    </comment>
    <comment ref="D9" authorId="3" shapeId="0">
      <text>
        <r>
          <rPr>
            <b/>
            <sz val="9"/>
            <color indexed="81"/>
            <rFont val="Tahoma"/>
            <family val="2"/>
          </rPr>
          <t>Docente:</t>
        </r>
        <r>
          <rPr>
            <sz val="9"/>
            <color indexed="81"/>
            <rFont val="Tahoma"/>
            <family val="2"/>
          </rPr>
          <t xml:space="preserve">
</t>
        </r>
      </text>
    </comment>
    <comment ref="D10"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Documentos incompletos del proveedores para el proceso de inscripción 
</t>
        </r>
        <r>
          <rPr>
            <b/>
            <sz val="9"/>
            <color indexed="81"/>
            <rFont val="Tahoma"/>
            <family val="2"/>
          </rPr>
          <t xml:space="preserve">Tratamiento:   </t>
        </r>
        <r>
          <rPr>
            <sz val="9"/>
            <color indexed="81"/>
            <rFont val="Tahoma"/>
            <family val="2"/>
          </rPr>
          <t>Hacerles acompañamiento permanente a los proveedores en el momento de realizar la inscripción</t>
        </r>
      </text>
    </comment>
    <comment ref="D11" authorId="3" shapeId="0">
      <text>
        <r>
          <rPr>
            <b/>
            <sz val="9"/>
            <color indexed="81"/>
            <rFont val="Tahoma"/>
            <family val="2"/>
          </rPr>
          <t>Docente:</t>
        </r>
        <r>
          <rPr>
            <sz val="9"/>
            <color indexed="81"/>
            <rFont val="Tahoma"/>
            <family val="2"/>
          </rPr>
          <t xml:space="preserve">
Riesgo: Resistencia al programa de pensionados "En la ruta de mi vida"   
Tratamiento: 1. Realizar una adecuada sensibilización al momento de ofertar el programa de pensionados "En la ruta de mi vida" 
2. Tener en cuenta las recomendaciones de la población objetivo, con el fin de generar las oportunidades
</t>
        </r>
      </text>
    </comment>
    <comment ref="D18"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Cambios en la clasificación de los grupos de investigación y de reconocimiento de docentes.
</t>
        </r>
        <r>
          <rPr>
            <b/>
            <sz val="9"/>
            <color indexed="81"/>
            <rFont val="Tahoma"/>
            <family val="2"/>
          </rPr>
          <t>Tratamiento</t>
        </r>
        <r>
          <rPr>
            <sz val="9"/>
            <color indexed="81"/>
            <rFont val="Tahoma"/>
            <family val="2"/>
          </rPr>
          <t>: Es posible mitigar parte del riesgo a partir de la verificación de productos, de los soportes correspondientes y el correcto diligenciamiento de los productos en la dimensiones del modelo Minciencias.</t>
        </r>
      </text>
    </comment>
    <comment ref="D23"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hacer control previo al Incumplimiento de la RESOLUCIÓN NÚMERO 9061 de Diciembre 10 2020 de la Dian  
</t>
        </r>
        <r>
          <rPr>
            <b/>
            <sz val="9"/>
            <color indexed="81"/>
            <rFont val="Tahoma"/>
            <family val="2"/>
          </rPr>
          <t xml:space="preserve">
Tratamiento</t>
        </r>
        <r>
          <rPr>
            <sz val="9"/>
            <color indexed="81"/>
            <rFont val="Tahoma"/>
            <family val="2"/>
          </rPr>
          <t>: Hacer verificación previa de las facturas que incluyan servicios o bienes gravados, con el fin de actuar como órgano preventivo</t>
        </r>
      </text>
    </comment>
    <comment ref="D37"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"La no renovación de acreditación institucional o de programas "
Tratamiento: 
1. Consolidación de la información no contenida en el software SIGUL y alineación de las directivas de la seccional para el cumplimiento de los planes de mejoramiento del programa en línea con la normatividad vigente
2. Construcción de la información inexistente
3. Búsqueda en las diferentes fuentes de información.
4. Identificar las fuentes de información para determinar confiabilidad y veracidad
</t>
        </r>
      </text>
    </comment>
    <comment ref="D38"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Las auditorías internas de la calidad pueden presentar desviaciones en el cumplimiento del objetivo y criterios auditar; debido a la realización de los auditorias de manera remota. 
</t>
        </r>
        <r>
          <rPr>
            <b/>
            <sz val="9"/>
            <color indexed="81"/>
            <rFont val="Tahoma"/>
            <family val="2"/>
          </rPr>
          <t>Tratamiento</t>
        </r>
        <r>
          <rPr>
            <sz val="9"/>
            <color indexed="81"/>
            <rFont val="Tahoma"/>
            <family val="2"/>
          </rPr>
          <t>: Seguimiento y acompañamiento a los auditores internos de calidad Seccional Pereira</t>
        </r>
      </text>
    </comment>
    <comment ref="D40"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Documentos incompletos del proveedores para el proceso de inscripción 
</t>
        </r>
        <r>
          <rPr>
            <b/>
            <sz val="9"/>
            <color indexed="81"/>
            <rFont val="Tahoma"/>
            <family val="2"/>
          </rPr>
          <t xml:space="preserve">Tratamiento:   </t>
        </r>
        <r>
          <rPr>
            <sz val="9"/>
            <color indexed="81"/>
            <rFont val="Tahoma"/>
            <family val="2"/>
          </rPr>
          <t>Hacerles acompañamiento permanente a los proveedores en el momento de realizar la inscripción</t>
        </r>
      </text>
    </comment>
    <comment ref="D41"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Resistencia al cambio para realizar la evaluación por SEVEN
</t>
        </r>
        <r>
          <rPr>
            <b/>
            <sz val="9"/>
            <color indexed="81"/>
            <rFont val="Tahoma"/>
            <family val="2"/>
          </rPr>
          <t xml:space="preserve">Tratamiento:  </t>
        </r>
        <r>
          <rPr>
            <sz val="9"/>
            <color indexed="81"/>
            <rFont val="Tahoma"/>
            <family val="2"/>
          </rPr>
          <t>Capacitación a todos los jefes de aéreas académicas y administrativas y sus auxiliares, mostrando las bondades del sistema para la evaluación de proveedores</t>
        </r>
      </text>
    </comment>
    <comment ref="D43" authorId="3" shapeId="0">
      <text>
        <r>
          <rPr>
            <b/>
            <sz val="9"/>
            <color indexed="81"/>
            <rFont val="Tahoma"/>
            <family val="2"/>
          </rPr>
          <t>Docente:</t>
        </r>
        <r>
          <rPr>
            <sz val="9"/>
            <color indexed="81"/>
            <rFont val="Tahoma"/>
            <family val="2"/>
          </rPr>
          <t xml:space="preserve">
Riesgo: Resistencia al programa de pensionados "En la ruta de mi vida"   
Tratamiento: 1. Realizar una adecuada sensibilización al momento de ofertar el programa de pensionados "En la ruta de mi vida" 
2. Tener en cuenta las recomendaciones de la población objetivo, con el fin de generar las oportunidades
</t>
        </r>
      </text>
    </comment>
    <comment ref="D44"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Que la información de los egresados no sea ingresada de forma correcta, lo que generaría desactualización de la base de datos e información errada 
</t>
        </r>
        <r>
          <rPr>
            <b/>
            <sz val="9"/>
            <color indexed="81"/>
            <rFont val="Tahoma"/>
            <family val="2"/>
          </rPr>
          <t>Tratamiento</t>
        </r>
        <r>
          <rPr>
            <sz val="9"/>
            <color indexed="81"/>
            <rFont val="Tahoma"/>
            <family val="2"/>
          </rPr>
          <t>: Capacitación permanente y adecuado seguimiento</t>
        </r>
      </text>
    </comment>
    <comment ref="D46"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Falta de visión multicampus en la formulación de los PAT 
</t>
        </r>
        <r>
          <rPr>
            <b/>
            <sz val="9"/>
            <color indexed="81"/>
            <rFont val="Tahoma"/>
            <family val="2"/>
          </rPr>
          <t>Tratamiento</t>
        </r>
        <r>
          <rPr>
            <sz val="9"/>
            <color indexed="81"/>
            <rFont val="Tahoma"/>
            <family val="2"/>
          </rPr>
          <t>: Comunicación y motivación a las directivas nacionales para alinear los PAT con visión multicampus</t>
        </r>
      </text>
    </comment>
    <comment ref="D48"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acreditación del laboratorio de investigación del programa de Microbiologíaen ISO 17025
</t>
        </r>
        <r>
          <rPr>
            <b/>
            <sz val="9"/>
            <color indexed="81"/>
            <rFont val="Tahoma"/>
            <family val="2"/>
          </rPr>
          <t>Tratamiento:</t>
        </r>
        <r>
          <rPr>
            <sz val="9"/>
            <color indexed="81"/>
            <rFont val="Tahoma"/>
            <family val="2"/>
          </rPr>
          <t xml:space="preserve"> Seguimiento permanente a la ejecución de las actividades programadas para implementación de la norma</t>
        </r>
      </text>
    </comment>
    <comment ref="D50"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Desinterés de los docentes en la implementación de aulas virtuales  
</t>
        </r>
        <r>
          <rPr>
            <b/>
            <sz val="9"/>
            <color indexed="81"/>
            <rFont val="Tahoma"/>
            <family val="2"/>
          </rPr>
          <t xml:space="preserve">Tramiento: </t>
        </r>
        <r>
          <rPr>
            <sz val="9"/>
            <color indexed="81"/>
            <rFont val="Tahoma"/>
            <family val="2"/>
          </rPr>
          <t>Capacitación y sensibilización a los docentes en la implementación de aulas virtuales</t>
        </r>
      </text>
    </comment>
    <comment ref="D52"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Que el Ministerio de Educación niegue el registro calificado
</t>
        </r>
        <r>
          <rPr>
            <b/>
            <sz val="9"/>
            <color indexed="81"/>
            <rFont val="Tahoma"/>
            <family val="2"/>
          </rPr>
          <t xml:space="preserve">Tratamiento: </t>
        </r>
        <r>
          <rPr>
            <sz val="9"/>
            <color indexed="81"/>
            <rFont val="Tahoma"/>
            <family val="2"/>
          </rPr>
          <t xml:space="preserve"> 
1. Identificación de origen de la información.
2. Búsqueda en las diferentes fuentes de información.
3. Construcción de la información inexistentes.
4. Consolidación de la información no contenida en el software SIGUL para reporte de informes seccionales y nacionales
</t>
        </r>
      </text>
    </comment>
    <comment ref="D54"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Que no se cumplan las actualizaciones de los PEP 
</t>
        </r>
        <r>
          <rPr>
            <b/>
            <sz val="9"/>
            <color indexed="81"/>
            <rFont val="Tahoma"/>
            <family val="2"/>
          </rPr>
          <t>Tratamiento</t>
        </r>
        <r>
          <rPr>
            <sz val="9"/>
            <color indexed="81"/>
            <rFont val="Tahoma"/>
            <family val="2"/>
          </rPr>
          <t>: Recibir por parte de los Directores de Programa las capacitaciones necesarias para la actualización de los PEP.</t>
        </r>
      </text>
    </comment>
    <comment ref="D56"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Desactualización de información del E-book. 
</t>
        </r>
        <r>
          <rPr>
            <b/>
            <sz val="9"/>
            <color indexed="81"/>
            <rFont val="Tahoma"/>
            <family val="2"/>
          </rPr>
          <t>Tratamiento:</t>
        </r>
        <r>
          <rPr>
            <sz val="9"/>
            <color indexed="81"/>
            <rFont val="Tahoma"/>
            <family val="2"/>
          </rPr>
          <t xml:space="preserve"> Cada vez que se renueven los registros calificados solicitar al área de Comunicaciones la actualización de la información del E-book.</t>
        </r>
      </text>
    </comment>
    <comment ref="D58"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Cambios en la clasificación de los grupos de investigación y de reconocimiento de docentes.
</t>
        </r>
        <r>
          <rPr>
            <b/>
            <sz val="9"/>
            <color indexed="81"/>
            <rFont val="Tahoma"/>
            <family val="2"/>
          </rPr>
          <t>Tratamiento</t>
        </r>
        <r>
          <rPr>
            <sz val="9"/>
            <color indexed="81"/>
            <rFont val="Tahoma"/>
            <family val="2"/>
          </rPr>
          <t>: Es posible mitigar parte del riesgo a partir de la verificación de productos, de los soportes correspondientes y el correcto diligenciamiento de los productos en la dimensiones del modelo Minciencias.</t>
        </r>
      </text>
    </comment>
    <comment ref="D60"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Extemporaneidad en el trámite de convocatoria No.893  
</t>
        </r>
        <r>
          <rPr>
            <b/>
            <sz val="9"/>
            <color indexed="81"/>
            <rFont val="Tahoma"/>
            <family val="2"/>
          </rPr>
          <t>Tratamiento</t>
        </r>
        <r>
          <rPr>
            <sz val="9"/>
            <color indexed="81"/>
            <rFont val="Tahoma"/>
            <family val="2"/>
          </rPr>
          <t>: Sensibilizar y socializar oportunamente el proyecto formulado.</t>
        </r>
      </text>
    </comment>
    <comment ref="D61"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Información de Prácticas en Kawak incorrecta 
</t>
        </r>
        <r>
          <rPr>
            <b/>
            <sz val="9"/>
            <color indexed="81"/>
            <rFont val="Tahoma"/>
            <family val="2"/>
          </rPr>
          <t>Tratamiento</t>
        </r>
        <r>
          <rPr>
            <sz val="9"/>
            <color indexed="81"/>
            <rFont val="Tahoma"/>
            <family val="2"/>
          </rPr>
          <t>: Capacitación permanente y adecuado seguimiento por parte de los docentes</t>
        </r>
      </text>
    </comment>
    <comment ref="D62"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Que no se puedan realizar las brigadas 
</t>
        </r>
        <r>
          <rPr>
            <b/>
            <sz val="9"/>
            <color indexed="81"/>
            <rFont val="Tahoma"/>
            <family val="2"/>
          </rPr>
          <t>Tratamiento</t>
        </r>
        <r>
          <rPr>
            <sz val="9"/>
            <color indexed="81"/>
            <rFont val="Tahoma"/>
            <family val="2"/>
          </rPr>
          <t>: Hacer con antelación las gestiones necesarias con los secretarios de gobierno, para garantizar el éxito de las brigadas.</t>
        </r>
      </text>
    </comment>
    <comment ref="D64" authorId="4" shapeId="0">
      <text>
        <r>
          <rPr>
            <b/>
            <sz val="9"/>
            <color indexed="81"/>
            <rFont val="Tahoma"/>
            <family val="2"/>
          </rPr>
          <t>Adriana Patricia:</t>
        </r>
        <r>
          <rPr>
            <sz val="9"/>
            <color indexed="81"/>
            <rFont val="Tahoma"/>
            <family val="2"/>
          </rPr>
          <t xml:space="preserve">
Fallas de infraestructura tecnológica para la prestación de los servicios virtuales SIBUL
Tratamiento:  Asignar un responsable de monitorear el acceso a las bases de datos</t>
        </r>
      </text>
    </comment>
    <comment ref="D66"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hacer control previo al Incumplimiento de la RESOLUCIÓN NÚMERO 9061 de Diciembre 10 2020 de la Dian  
</t>
        </r>
        <r>
          <rPr>
            <b/>
            <sz val="9"/>
            <color indexed="81"/>
            <rFont val="Tahoma"/>
            <family val="2"/>
          </rPr>
          <t xml:space="preserve">
Tratamiento</t>
        </r>
        <r>
          <rPr>
            <sz val="9"/>
            <color indexed="81"/>
            <rFont val="Tahoma"/>
            <family val="2"/>
          </rPr>
          <t>: Hacer verificación previa de las facturas que incluyan servicios o bienes gravados, con el fin de actuar como órgano preventivo</t>
        </r>
      </text>
    </comment>
    <comment ref="D68" authorId="3" shapeId="0">
      <text>
        <r>
          <rPr>
            <b/>
            <sz val="9"/>
            <color indexed="81"/>
            <rFont val="Tahoma"/>
            <family val="2"/>
          </rPr>
          <t xml:space="preserve">Docente:
Gestión documental (Riesgos nacionales):  
ID73: Riesgo (2019):  </t>
        </r>
        <r>
          <rPr>
            <sz val="9"/>
            <color indexed="81"/>
            <rFont val="Tahoma"/>
            <family val="2"/>
          </rPr>
          <t xml:space="preserve">Pérdida, modificación o deterioro biológico de los documentos </t>
        </r>
        <r>
          <rPr>
            <b/>
            <sz val="9"/>
            <color indexed="81"/>
            <rFont val="Tahoma"/>
            <family val="2"/>
          </rPr>
          <t xml:space="preserve">
Tratamiento: 
1. </t>
        </r>
        <r>
          <rPr>
            <sz val="9"/>
            <color indexed="81"/>
            <rFont val="Tahoma"/>
            <family val="2"/>
          </rPr>
          <t>Realizar seguimiento de las condiciones de humedad, temperatura, locativas y de seguridad de los depósitos.
2. Realizar verificación de la integridad de los documentos recepcionados, radicados, transferidos, consultados y/o prestados en el momento de la devolución o entrega de los mismos.</t>
        </r>
      </text>
    </comment>
    <comment ref="D69" authorId="3" shapeId="0">
      <text>
        <r>
          <rPr>
            <b/>
            <sz val="9"/>
            <color indexed="81"/>
            <rFont val="Tahoma"/>
            <family val="2"/>
          </rPr>
          <t xml:space="preserve">Docente:
Gestión documental (Riesgos nacionales):  
ID78: Riesgo (2019):  </t>
        </r>
        <r>
          <rPr>
            <sz val="9"/>
            <color indexed="81"/>
            <rFont val="Tahoma"/>
            <family val="2"/>
          </rPr>
          <t xml:space="preserve">Desactualización de Tablas de Retención Documental </t>
        </r>
        <r>
          <rPr>
            <b/>
            <sz val="9"/>
            <color indexed="81"/>
            <rFont val="Tahoma"/>
            <family val="2"/>
          </rPr>
          <t xml:space="preserve">
Tratamiento: 
</t>
        </r>
        <r>
          <rPr>
            <sz val="9"/>
            <color indexed="81"/>
            <rFont val="Tahoma"/>
            <family val="2"/>
          </rPr>
          <t xml:space="preserve">Teniendo en cuenta los cambios de estructura orgánica y de funciones que se han generado en los últimos años con los cambios administrativos, y, que probablemente se ha generado documentación adicional en las UAA y en los procesos en general a causa del cambio en el alcance del SGC y de los proyectos de integración tecnológica, se debe realizar una actualización delas TRD, dejando la evidencia en la bitácora, para garantizar que las UAA y los procesos continúen con el proceso de clasificación y organización documental.
</t>
        </r>
      </text>
    </comment>
    <comment ref="D71"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Facturación Electrónica
</t>
        </r>
        <r>
          <rPr>
            <b/>
            <sz val="9"/>
            <color indexed="81"/>
            <rFont val="Tahoma"/>
            <family val="2"/>
          </rPr>
          <t xml:space="preserve">Tratamiento: </t>
        </r>
        <r>
          <rPr>
            <sz val="9"/>
            <color indexed="81"/>
            <rFont val="Tahoma"/>
            <family val="2"/>
          </rPr>
          <t>Se hace necesario dar capacitación a las siguientes áreas: 1. Registro y control 
2. Auxiliares de Tesorería 
3. Auxiliares de Contabilidad 
4. Centro de conciliación Alberto Mesa Abadía 
5. Promoción y mercadeo</t>
        </r>
      </text>
    </comment>
    <comment ref="D73"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Resistencia al cambio evaluación de desempeño por KACTUS
</t>
        </r>
        <r>
          <rPr>
            <b/>
            <sz val="9"/>
            <color indexed="81"/>
            <rFont val="Tahoma"/>
            <family val="2"/>
          </rPr>
          <t>Tratamiento</t>
        </r>
        <r>
          <rPr>
            <sz val="9"/>
            <color indexed="81"/>
            <rFont val="Tahoma"/>
            <family val="2"/>
          </rPr>
          <t>:  CAPACITACIÓN A LIDERES DE PROCESO EN IMPLEMENTACIÓN DE LA EVALUACIÓN DE desempeño A TRAVÉS DEL APLICATIVO KACTUS</t>
        </r>
      </text>
    </comment>
    <comment ref="D74"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Incumplimiento de requisitos para trabajo en alturas
</t>
        </r>
        <r>
          <rPr>
            <b/>
            <sz val="9"/>
            <color indexed="81"/>
            <rFont val="Tahoma"/>
            <family val="2"/>
          </rPr>
          <t>Tratamiento</t>
        </r>
        <r>
          <rPr>
            <sz val="9"/>
            <color indexed="81"/>
            <rFont val="Tahoma"/>
            <family val="2"/>
          </rPr>
          <t>:  Solicitar programación previa de trabajo en alturas a servicios generales, realizar acompañamiento a las tareas críticas, y hacer seguimiento al cumplimiento de requisitos</t>
        </r>
      </text>
    </comment>
    <comment ref="D76"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funcione correctamente la nueva versión de seven
</t>
        </r>
        <r>
          <rPr>
            <b/>
            <sz val="9"/>
            <color indexed="81"/>
            <rFont val="Tahoma"/>
            <family val="2"/>
          </rPr>
          <t>Tratamiento</t>
        </r>
        <r>
          <rPr>
            <sz val="9"/>
            <color indexed="81"/>
            <rFont val="Tahoma"/>
            <family val="2"/>
          </rPr>
          <t>: hacer control y seguimiento a la realización de todas las las´pruebas para que la actualización funcione correctamente</t>
        </r>
      </text>
    </comment>
    <comment ref="D78"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Que no se realice oportunamten la parametrizaicon del sistema para la solicitud de preparatorio
</t>
        </r>
        <r>
          <rPr>
            <b/>
            <sz val="9"/>
            <color indexed="81"/>
            <rFont val="Tahoma"/>
            <family val="2"/>
          </rPr>
          <t xml:space="preserve">Tratamiento:  </t>
        </r>
        <r>
          <rPr>
            <sz val="9"/>
            <color indexed="81"/>
            <rFont val="Tahoma"/>
            <family val="2"/>
          </rPr>
          <t>Realizar capacitación a los jefes de área, sobre el buen manejo de la parametrización de las fechas de preparatorios, permitiendo la importancia de cumplir con la programación de las fechas, para que los estudiantes puedan realizar sus solicitudes, en los tiempos estipulados</t>
        </r>
      </text>
    </comment>
    <comment ref="D80"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FALLAS EN EL SISTEMAS DE IDENTIFICACION DE ACCESO CON TARJETAS
</t>
        </r>
        <r>
          <rPr>
            <b/>
            <sz val="9"/>
            <color indexed="81"/>
            <rFont val="Tahoma"/>
            <family val="2"/>
          </rPr>
          <t xml:space="preserve">
Tratamiento</t>
        </r>
        <r>
          <rPr>
            <sz val="9"/>
            <color indexed="81"/>
            <rFont val="Tahoma"/>
            <family val="2"/>
          </rPr>
          <t>: CONTRATO DE MANTENIMIENTO DEL SOFTWARE Y EQUIPAMENTO CON TIEMPOS ADECUADOS DE RESPUESTA.</t>
        </r>
      </text>
    </comment>
    <comment ref="D81"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:Deterioro Jardín ZEN  
</t>
        </r>
        <r>
          <rPr>
            <b/>
            <sz val="9"/>
            <color indexed="81"/>
            <rFont val="Tahoma"/>
            <family val="2"/>
          </rPr>
          <t>Tratamiento</t>
        </r>
        <r>
          <rPr>
            <sz val="9"/>
            <color indexed="81"/>
            <rFont val="Tahoma"/>
            <family val="2"/>
          </rPr>
          <t>: Cronograma anual de Mantenimiento del Jardín ZEN</t>
        </r>
      </text>
    </comment>
  </commentList>
</comments>
</file>

<file path=xl/comments12.xml><?xml version="1.0" encoding="utf-8"?>
<comments xmlns="http://schemas.openxmlformats.org/spreadsheetml/2006/main">
  <authors>
    <author>Calidad Gloria Amparo Sanchez</author>
    <author>Gloria A. Sanchez M.</author>
  </authors>
  <commentList>
    <comment ref="D3" authorId="0" shapeId="0">
      <text>
        <r>
          <rPr>
            <b/>
            <sz val="9"/>
            <color indexed="81"/>
            <rFont val="Tahoma"/>
            <family val="2"/>
          </rPr>
          <t>Calidad Gloria Amparo Sanchez:</t>
        </r>
        <r>
          <rPr>
            <sz val="9"/>
            <color indexed="81"/>
            <rFont val="Tahoma"/>
            <family val="2"/>
          </rPr>
          <t xml:space="preserve">
En proceso:  9
Cerradas: 87
Total: 96 (90,63%)
</t>
        </r>
      </text>
    </comment>
    <comment ref="E3" authorId="0" shapeId="0">
      <text>
        <r>
          <rPr>
            <b/>
            <sz val="9"/>
            <color indexed="81"/>
            <rFont val="Tahoma"/>
            <family val="2"/>
          </rPr>
          <t>Calidad Gloria Amparo Sanchez:</t>
        </r>
        <r>
          <rPr>
            <sz val="9"/>
            <color indexed="81"/>
            <rFont val="Tahoma"/>
            <family val="2"/>
          </rPr>
          <t xml:space="preserve">
En proceso:  15
Cerradas: 159
Total: 174 (91,38%)
</t>
        </r>
      </text>
    </comment>
    <comment ref="F3" authorId="0" shapeId="0">
      <text>
        <r>
          <rPr>
            <b/>
            <sz val="9"/>
            <color indexed="81"/>
            <rFont val="Tahoma"/>
            <family val="2"/>
          </rPr>
          <t>Calidad Gloria Amparo Sanchez:</t>
        </r>
        <r>
          <rPr>
            <sz val="9"/>
            <color indexed="81"/>
            <rFont val="Tahoma"/>
            <family val="2"/>
          </rPr>
          <t xml:space="preserve">
En proceso:  10
Cerradas: 94
Total: 104 </t>
        </r>
      </text>
    </comment>
    <comment ref="D13" authorId="1" shapeId="0">
      <text>
        <r>
          <rPr>
            <b/>
            <sz val="9"/>
            <color indexed="81"/>
            <rFont val="Tahoma"/>
            <family val="2"/>
          </rPr>
          <t>Gloria A. Sanchez M.:</t>
        </r>
        <r>
          <rPr>
            <sz val="9"/>
            <color indexed="81"/>
            <rFont val="Tahoma"/>
            <family val="2"/>
          </rPr>
          <t xml:space="preserve">
Comentario: Con el apoyo del Equipo E-Learning se han implementado 19 aulas de acompañamiento a la virtualidad para el programa de Derecho. Las creadas para el programa de Trabajo Social, se encuentran sin implementar.
Estado: Pendiente</t>
        </r>
      </text>
    </comment>
    <comment ref="B49" authorId="1" shapeId="0">
      <text>
        <r>
          <rPr>
            <b/>
            <sz val="9"/>
            <color indexed="81"/>
            <rFont val="Tahoma"/>
            <family val="2"/>
          </rPr>
          <t>Gloria A. Sanchez M.:</t>
        </r>
        <r>
          <rPr>
            <sz val="9"/>
            <color indexed="81"/>
            <rFont val="Tahoma"/>
            <family val="2"/>
          </rPr>
          <t xml:space="preserve">
</t>
        </r>
      </text>
    </comment>
  </commentList>
</comments>
</file>

<file path=xl/sharedStrings.xml><?xml version="1.0" encoding="utf-8"?>
<sst xmlns="http://schemas.openxmlformats.org/spreadsheetml/2006/main" count="2581" uniqueCount="1335">
  <si>
    <t>Proceso</t>
  </si>
  <si>
    <t>Resultado Indicador</t>
  </si>
  <si>
    <t>Entregado?</t>
  </si>
  <si>
    <t>Observaciones</t>
  </si>
  <si>
    <t xml:space="preserve">Indicadores Medidos </t>
  </si>
  <si>
    <t>META</t>
  </si>
  <si>
    <t>Enero - Junio</t>
  </si>
  <si>
    <t>Julio - Diciembre</t>
  </si>
  <si>
    <t>Resultado 2007</t>
  </si>
  <si>
    <t>Enero - Marzo</t>
  </si>
  <si>
    <t>Abril - Junio</t>
  </si>
  <si>
    <t>Julio - Septiembre</t>
  </si>
  <si>
    <t>Octubre - Diciembre</t>
  </si>
  <si>
    <t>Enero</t>
  </si>
  <si>
    <t>Febrero</t>
  </si>
  <si>
    <t>Marzo</t>
  </si>
  <si>
    <t>Abril</t>
  </si>
  <si>
    <t>Mayo</t>
  </si>
  <si>
    <t>Junio</t>
  </si>
  <si>
    <t>Julio</t>
  </si>
  <si>
    <t>Agosto</t>
  </si>
  <si>
    <t>Septiembre</t>
  </si>
  <si>
    <t>Octubre</t>
  </si>
  <si>
    <t>Noviembre</t>
  </si>
  <si>
    <t>Diciembre</t>
  </si>
  <si>
    <t>Gestión de admisiones y registros (GR)</t>
  </si>
  <si>
    <t>No</t>
  </si>
  <si>
    <t>Si</t>
  </si>
  <si>
    <t>Reportado Enero - Junio</t>
  </si>
  <si>
    <t>Reportado por meses Enero - marzo</t>
  </si>
  <si>
    <t>Oportunidad en la entrega de notas</t>
  </si>
  <si>
    <t>Recurrentes</t>
  </si>
  <si>
    <t>Cerradas</t>
  </si>
  <si>
    <t>Respuesta de las quejas dentro del tiempo establecido</t>
  </si>
  <si>
    <t>Adquisiciones y Suministros (GA)</t>
  </si>
  <si>
    <t>Auditoría Interna (GC)</t>
  </si>
  <si>
    <t>Gestión de Biblioteca (GB)</t>
  </si>
  <si>
    <t>Capacidad en puestos de lectura</t>
  </si>
  <si>
    <t>5% de los alumnos matriculados</t>
  </si>
  <si>
    <t xml:space="preserve"> 0,5% para colección de estantería cerrada</t>
  </si>
  <si>
    <t>Ejecución del programa de mantenimiento de libros (AS)</t>
  </si>
  <si>
    <t>Pendiente</t>
  </si>
  <si>
    <t>Bienestar (BU)</t>
  </si>
  <si>
    <t>Calidad - Indicadores (AC)</t>
  </si>
  <si>
    <t>Pendiente entrega procesos</t>
  </si>
  <si>
    <t>Quejas recurrentes por proceso</t>
  </si>
  <si>
    <t xml:space="preserve">Quejas cerradas </t>
  </si>
  <si>
    <t>Eficacia de la acciones correctivas implementadas</t>
  </si>
  <si>
    <t>Pendiente Análisis ingeniera</t>
  </si>
  <si>
    <t>Eficacia de las Auditorias Internas</t>
  </si>
  <si>
    <t>Pendiente de ejecución auditorías</t>
  </si>
  <si>
    <t>Gestión Financiera (GF)</t>
  </si>
  <si>
    <t>Falta Septiembre</t>
  </si>
  <si>
    <t>Promedio</t>
  </si>
  <si>
    <t>Oportunidad en entrega de estados financieros</t>
  </si>
  <si>
    <t>Cumplimiento al acuerdo de servicio de financiación de matricula - AS</t>
  </si>
  <si>
    <t>Pendiente - Esperanza y  Jakeline</t>
  </si>
  <si>
    <t>Quejas - GF</t>
  </si>
  <si>
    <t>Quejas</t>
  </si>
  <si>
    <t>Gestión Humana (GH)</t>
  </si>
  <si>
    <t xml:space="preserve">Promedio </t>
  </si>
  <si>
    <t>Evaluación del período de prueba</t>
  </si>
  <si>
    <t>Quejas - GH</t>
  </si>
  <si>
    <t>Gestión Informática - GI</t>
  </si>
  <si>
    <t>Quejas - GI</t>
  </si>
  <si>
    <t xml:space="preserve">Gestión Servicios (GS) </t>
  </si>
  <si>
    <t xml:space="preserve">Ejecuciòn del plan de acciòn </t>
  </si>
  <si>
    <t>PROMEDIO SECCIONAL PEREIRA</t>
  </si>
  <si>
    <t>ADMINISTRATIVOS</t>
  </si>
  <si>
    <t>DOCENTES</t>
  </si>
  <si>
    <t>ESTUDIANTES</t>
  </si>
  <si>
    <t>CALIFICACIÓN DEL SERVICIO DEPOSITADOS EN LOS BUZONES DE SUGERENCIA</t>
  </si>
  <si>
    <t>170 calif. SS</t>
  </si>
  <si>
    <t>742 calif. SS</t>
  </si>
  <si>
    <t>962 calif. SS</t>
  </si>
  <si>
    <t>1.237 calif. SS</t>
  </si>
  <si>
    <t>1.805 calif. SS</t>
  </si>
  <si>
    <t>1.297 calif. SS</t>
  </si>
  <si>
    <t>964 calif. SS</t>
  </si>
  <si>
    <t>PROCESO</t>
  </si>
  <si>
    <t>GR</t>
  </si>
  <si>
    <t>GB</t>
  </si>
  <si>
    <t>BU</t>
  </si>
  <si>
    <t>GF</t>
  </si>
  <si>
    <t>GI</t>
  </si>
  <si>
    <t>GS</t>
  </si>
  <si>
    <t>GH</t>
  </si>
  <si>
    <t>GA</t>
  </si>
  <si>
    <t>PROCESOS</t>
  </si>
  <si>
    <t>INDICADOR</t>
  </si>
  <si>
    <t>Meta:  80%</t>
  </si>
  <si>
    <t>META: 80%</t>
  </si>
  <si>
    <t>PROMEDIO</t>
  </si>
  <si>
    <t>% DE MEJORA</t>
  </si>
  <si>
    <t>2009 -1</t>
  </si>
  <si>
    <t>2009-2</t>
  </si>
  <si>
    <t>2010-1</t>
  </si>
  <si>
    <t>2010-2</t>
  </si>
  <si>
    <t>2011-1</t>
  </si>
  <si>
    <t>2011-2</t>
  </si>
  <si>
    <t>2012-1</t>
  </si>
  <si>
    <t>2012-2</t>
  </si>
  <si>
    <t>ADQUISICIONES Y SUMINISTROS</t>
  </si>
  <si>
    <t>GESTIÓN DE BIBLIOTECA</t>
  </si>
  <si>
    <t>ADMINISTRACIÓN DE LA CALIDAD</t>
  </si>
  <si>
    <t>GESTION FINANCIERA</t>
  </si>
  <si>
    <t>N/A</t>
  </si>
  <si>
    <t>GESTION HUMANA</t>
  </si>
  <si>
    <t>GESTION INFORMATICA</t>
  </si>
  <si>
    <t>BIENESTAR UNIVERSITARIO</t>
  </si>
  <si>
    <t>Indicadores</t>
  </si>
  <si>
    <t>PROCESOS ADMINISTRATIVOS</t>
  </si>
  <si>
    <t>Bogotá, Barranquilla, Cali y Pereira</t>
  </si>
  <si>
    <t>Bogotá y Cartagena</t>
  </si>
  <si>
    <t>Cali y Socorro</t>
  </si>
  <si>
    <t>GESTION DE ADMISIONES Y REGISTROS</t>
  </si>
  <si>
    <t>GESTION DE ADQUISICIONES Y SUMINISTROS</t>
  </si>
  <si>
    <t>TOTAL</t>
  </si>
  <si>
    <t>META MEJORAR 3%</t>
  </si>
  <si>
    <t>2009-I</t>
  </si>
  <si>
    <t>2009-II</t>
  </si>
  <si>
    <t>2010-I</t>
  </si>
  <si>
    <t>2013-1</t>
  </si>
  <si>
    <t>Oportunidad en la entrega de pedido de almacén</t>
  </si>
  <si>
    <t xml:space="preserve">Oportunidad de la Induccion </t>
  </si>
  <si>
    <t>Pérdida del material bibliográfico (colección abierta)</t>
  </si>
  <si>
    <t>Pérdida del material bibliográfico (colección Cerrada)</t>
  </si>
  <si>
    <t>Quejas  respondidas dentro del tiempo establecido</t>
  </si>
  <si>
    <t>Cumplimiento en el programa de actividades</t>
  </si>
  <si>
    <t xml:space="preserve">Precisión en la elaboración del Presupuesto de ingresos </t>
  </si>
  <si>
    <t xml:space="preserve">Precisión en la elaboración del Presupuesto:  de gastos </t>
  </si>
  <si>
    <t xml:space="preserve">Precisión en la elaboración del Presupuesto: de inversión </t>
  </si>
  <si>
    <t xml:space="preserve">Eficacia del recaudo: Valor de creditos directos recaudados/valor creditos directos otorgados por periodo * 100 </t>
  </si>
  <si>
    <t>Eficacia del recaudo: Valor total del recaudo mes de los créditos a través de entidades financieras/ valor total de los créditos otorgados por las entidades financieras * 100</t>
  </si>
  <si>
    <t xml:space="preserve">GESTION DE SERVICIOS GENERALES </t>
  </si>
  <si>
    <t>Nivel de satisfacción en los servicios prestados (calificación del servicio)</t>
  </si>
  <si>
    <t>Evaluación de desempeño</t>
  </si>
  <si>
    <t>Cumplimiento plan de formación</t>
  </si>
  <si>
    <t>Vinculación (Cumplimiento del perfil de las requisiciones de Personal)</t>
  </si>
  <si>
    <t>Evaluación del periodo de prueba</t>
  </si>
  <si>
    <t>GESTION DE AUDITORIA INTERNA</t>
  </si>
  <si>
    <t>%</t>
  </si>
  <si>
    <t>% DE CUMPLIMIENTO DE LOS OBJETIVOS DE CALIDAD</t>
  </si>
  <si>
    <t>Objetivo</t>
  </si>
  <si>
    <t>Descripción</t>
  </si>
  <si>
    <t>Objetivo A</t>
  </si>
  <si>
    <t>Objetivo B</t>
  </si>
  <si>
    <t>Objetivo C</t>
  </si>
  <si>
    <t>Objetivo E</t>
  </si>
  <si>
    <t>NO CONFORMIDADES</t>
  </si>
  <si>
    <t>OBJETIVO A</t>
  </si>
  <si>
    <t>OBJETIVO B</t>
  </si>
  <si>
    <t>OBJETIVO D</t>
  </si>
  <si>
    <t>OBJETIVO E</t>
  </si>
  <si>
    <t>6,2,2</t>
  </si>
  <si>
    <t>4,2,3</t>
  </si>
  <si>
    <t>8,2,1</t>
  </si>
  <si>
    <t>8,2,3</t>
  </si>
  <si>
    <t>7,2,3</t>
  </si>
  <si>
    <t>4,2,4</t>
  </si>
  <si>
    <t>7,4,1</t>
  </si>
  <si>
    <t>5,5,1</t>
  </si>
  <si>
    <t>8,5,2</t>
  </si>
  <si>
    <t>7,5,3</t>
  </si>
  <si>
    <t>8,5,3</t>
  </si>
  <si>
    <t>SEGUIMIENTO, MEDICION Y ANALISIS DEL SGC</t>
  </si>
  <si>
    <t>MACROPROCESO:</t>
  </si>
  <si>
    <t>Dia</t>
  </si>
  <si>
    <t>Mes</t>
  </si>
  <si>
    <t>Año</t>
  </si>
  <si>
    <t>PROCESO:</t>
  </si>
  <si>
    <t>INDICADOR:</t>
  </si>
  <si>
    <t>OBJETIVO:</t>
  </si>
  <si>
    <t xml:space="preserve">META: </t>
  </si>
  <si>
    <t xml:space="preserve">Semestral </t>
  </si>
  <si>
    <t>2009-1</t>
  </si>
  <si>
    <t>GRAFICA</t>
  </si>
  <si>
    <t>2007-1</t>
  </si>
  <si>
    <t>2007-II</t>
  </si>
  <si>
    <t>2008-I</t>
  </si>
  <si>
    <t>2008-2</t>
  </si>
  <si>
    <t>AC</t>
  </si>
  <si>
    <t>2007- 1</t>
  </si>
  <si>
    <t>2007-2</t>
  </si>
  <si>
    <t>2008-1</t>
  </si>
  <si>
    <t>GC</t>
  </si>
  <si>
    <t>ANALISIS DE DATOS (Tendencia)</t>
  </si>
  <si>
    <t>ACCIONES DE MEJORA (tiempo estimado, recursos requeridos y responsable por ejecutar)</t>
  </si>
  <si>
    <t>Nota:  de acuerdo al análisis de los resultados, reportar las acciones requeridas en el reporte de acción correctiva ST-AC-05-P-01-F01</t>
  </si>
  <si>
    <t>Gestión Financiera</t>
  </si>
  <si>
    <t>Gestión Humana</t>
  </si>
  <si>
    <t>Gestión de la Biblioteca</t>
  </si>
  <si>
    <t>Gestión Informática</t>
  </si>
  <si>
    <t>Gestión de Servicios Generales</t>
  </si>
  <si>
    <t>Gestión de Adquisiciones y Suministros</t>
  </si>
  <si>
    <t>EN PROCESO</t>
  </si>
  <si>
    <t>CERRADAS</t>
  </si>
  <si>
    <t>Gestión de Admisiones y Registros</t>
  </si>
  <si>
    <t>Bienestar Universitario</t>
  </si>
  <si>
    <t>Gestión de Biblioteca</t>
  </si>
  <si>
    <t>Gestión de Auditoria Interna</t>
  </si>
  <si>
    <t>Bogotá</t>
  </si>
  <si>
    <t>Cerrado</t>
  </si>
  <si>
    <t>NC</t>
  </si>
  <si>
    <t>II-2006</t>
  </si>
  <si>
    <t>I-2007</t>
  </si>
  <si>
    <t>II-2007</t>
  </si>
  <si>
    <t>I-2008</t>
  </si>
  <si>
    <t>II-2008</t>
  </si>
  <si>
    <t>I -2009</t>
  </si>
  <si>
    <t>II -2009</t>
  </si>
  <si>
    <t>I -2010</t>
  </si>
  <si>
    <t>GESTIÓN DE LA DIRECCIÓN</t>
  </si>
  <si>
    <t>GESTION DE LA BIBLIOTECA</t>
  </si>
  <si>
    <t>GESTION DE LA AUDITORIA INTERNA</t>
  </si>
  <si>
    <t>2006-II</t>
  </si>
  <si>
    <t>Bogotá y Cúcuta</t>
  </si>
  <si>
    <t>Barranquilla y Pereira</t>
  </si>
  <si>
    <t>Bogotá y Barranquilla</t>
  </si>
  <si>
    <t>Bogotá y Socorro</t>
  </si>
  <si>
    <t>Bogotá y Cali</t>
  </si>
  <si>
    <t>SEGUIMIENTO TAREAS REVISION GERENCIAL 2011-1 y ANTERIORES ABIERTAS</t>
  </si>
  <si>
    <t>TAREA</t>
  </si>
  <si>
    <t>RESPONSABLE ASIGNADO</t>
  </si>
  <si>
    <t>SEGUIMIENTO</t>
  </si>
  <si>
    <t>ACTIVIDAD</t>
  </si>
  <si>
    <t>ESTADO ACTUAL</t>
  </si>
  <si>
    <t xml:space="preserve">Solicitar a  Bogotá la capacitación  al personal de auditoria en las herramientas que ofrecen los nuevos sistemas de Información para implementarlas en el ejercicio de auditoría . </t>
  </si>
  <si>
    <t xml:space="preserve"> Titular de Proceso, Director de Sistemas
 </t>
  </si>
  <si>
    <t>Se envió carta AUD 016 el 17-02-2011, al Director de Sistemas con copia a la Jefatura de Personal, solicitando incluír al personal de Auditoria Interna en el plan de actualización y retroalimentación en los aplicativos SINU, SEVEN y KACTUS, vigencia 2011.</t>
  </si>
  <si>
    <t xml:space="preserve">En proceso
(2007-II)
</t>
  </si>
  <si>
    <t>AÑO 2010: El I-SEM-2010, trasladaron un auxiliar por OUTSOURCING a la Auditoria pero el personal sin perfil requiere supervisión permanente y capacitación, lo que genera que no se cumpla a cabalidad el plan de trabajo y la auditoria académica se realice sin el debido alcance. En respuesta a carta AUD 045/10 del 09-JUN-2010 trasladaron una funcionaria de planta el día 06-JUL-2010, la cual presentó calamidad doméstica en forma recurrente y renunció el día 09-NOV-2010. A partir de esta fecha el cargo no ha sido reemplazado. El 14-DIC-2010 se envío carta AUD 100/10 al Presidente Seccional con copia al Jefe de Personal solicitando nuevamente suministrar el recurso humano pertinente. Actualmente esta  asignada sólo una Secretaria para cumplir con el Plan General de Trabajo.</t>
  </si>
  <si>
    <t>Pendiente toma de decisiones por parte de 
Gestion Humana 
y 
Presidencia Seccional</t>
  </si>
  <si>
    <t>Se envio carta AUD 250 el 18-12-2008 al Presidente Seccional y al Jefe de Personal, solicitando el recurso humano pertinente para cumplir a cabalidad con el Plan General de Trabajo. Luego se envió en carta AUD 004/09 del 13-02-2009 al Presidente Seccional, con igual solicitud. 
El día 20-03-2009 trasladaron a la Ing. Comercial; Edna Garcia; Secretaria; (planta administrativa), para apoyar la Auditoria Académica, quien está pendiente de que le definan cargo y nivelación salarial. 
En Sept-2009 se contrató un estudiante  de último semestre de Contaduría, para apoyar la Auditoria Administrativa y Financiera pero no se reintegro en enero de 2010, porque le ofrecieron un salario menor al devengado inicialmente.</t>
  </si>
  <si>
    <t xml:space="preserve">En proceso
(2007-2)
</t>
  </si>
  <si>
    <t xml:space="preserve">Creación de la Oficina de Tesorería, proyecto que fue presentado al H. Consejo Directivo y por este intermedio ante H. Consiliatura.  </t>
  </si>
  <si>
    <t>Síndico - Gerente</t>
  </si>
  <si>
    <t>Se reeplantea la acción dado que por el tamaño de la Seccional no amerita una estructura de tesoreria , en su lugar un aprendiz sena que realice el apoyo en tesorería y pagaduría y un profesional encargado de jefe de cartera y tesorería.</t>
  </si>
  <si>
    <t xml:space="preserve">En proceso
(2009-1)
</t>
  </si>
  <si>
    <t xml:space="preserve">Continuar con el diagnóstico y puesta en marcha del Archivo Central 
</t>
  </si>
  <si>
    <t>Secretario Seccional</t>
  </si>
  <si>
    <t xml:space="preserve">A través de la Secretaría Seccional, se tienen elaboradas las Tablas de Retención Documental (TRD)  tanto en Unidades académicas como administrativas, se tiene organizado  el archivo de gestión en cada una de las áreas. Se está en la tercera etapa del proyecto.  
</t>
  </si>
  <si>
    <t xml:space="preserve">En proceso
(2009-2)
</t>
  </si>
  <si>
    <t>Socialización y puesta en marcha del software HELPDESK para solicitudes de servicio y hojas de vida equipos, manejo y seguimiento a aulas virtuales, quejas por la web, entre otras</t>
  </si>
  <si>
    <t>Director de Sistemas</t>
  </si>
  <si>
    <t>A la fecha se han realizado la alimentación de las hojas de vida de cada equipo de los diferentes departamentos, la no constancia de personal ha hecho que este proyecto este pendiente ya que se realiza la capacitaciones correspondientes al responsable del aplicativo y este no continua en la universidad, lo que genera no dar continuidad a los procesos y proyectos que el departamento genera.</t>
  </si>
  <si>
    <t>Iluminación  para valla vía mercasa, lo que permitirá que mayor impacto en recordación del nombre de la Universidad tanto en pregrado como en posgrados</t>
  </si>
  <si>
    <t>Jefe de servicios generales</t>
  </si>
  <si>
    <t>Ya se tiene material para su realización para el año 2012</t>
  </si>
  <si>
    <t xml:space="preserve">En Proceso (2010-2)
</t>
  </si>
  <si>
    <t>Se proyecta la readecuación de parquederos sede Belmonte, con el fin de ampliar la capacidad de espacio para parqueo.</t>
  </si>
  <si>
    <t>Presidencia Seccional
Jefe de servicios generales</t>
  </si>
  <si>
    <t>Se presupuestó para la vigencia 2012</t>
  </si>
  <si>
    <t>Terminación del proyecto de  readecuación del bloque A en la parte exterior lo que generará un mejor impacto en la presentación de los edificios.</t>
  </si>
  <si>
    <t>En proceso</t>
  </si>
  <si>
    <t xml:space="preserve">0   </t>
  </si>
  <si>
    <t xml:space="preserve"> 0  </t>
  </si>
  <si>
    <t>GESTIÓN DE AUDITORÍA INTERNA</t>
  </si>
  <si>
    <t>GESTIÓN FINANCIERA</t>
  </si>
  <si>
    <t>GESTIÓN DE ADMISIONES Y REGISTROS</t>
  </si>
  <si>
    <t>GESTIÓN DE ADQUISICIONES Y SUMINISTROS</t>
  </si>
  <si>
    <t>GESTIÓN DE INFORMÁTICA</t>
  </si>
  <si>
    <t>GESTIÓN HUMANA</t>
  </si>
  <si>
    <t>GESTIÓN DE SERVICIOS GENERALES</t>
  </si>
  <si>
    <t>FECHA:</t>
  </si>
  <si>
    <t>Quejas cerradas</t>
  </si>
  <si>
    <t>Gestión de Adquisiciones y suministros</t>
  </si>
  <si>
    <t>2013-2</t>
  </si>
  <si>
    <t xml:space="preserve">2013-1 </t>
  </si>
  <si>
    <t>Atención médica y/o primaria en Enfermería (Acuerdo)</t>
  </si>
  <si>
    <t>Psicológica (Acuerdo)</t>
  </si>
  <si>
    <t>Participación en acciones culturales</t>
  </si>
  <si>
    <t>Participación en acciones recreativas y deportivas</t>
  </si>
  <si>
    <t>Participación en acciones de promoción socioeconómica</t>
  </si>
  <si>
    <t>Soporte Técnico Gestión Administrativa (Acuerdo)</t>
  </si>
  <si>
    <t>Disponibilidad de Equipos en Salas.(AS)</t>
  </si>
  <si>
    <t>Rendimiento de los equipos en las salas (AS)</t>
  </si>
  <si>
    <t>Soporte técnico en las salas (AS)</t>
  </si>
  <si>
    <t>2013 -1</t>
  </si>
  <si>
    <t>2013 -2</t>
  </si>
  <si>
    <t>Uso y apropiación del sistema SINU vía Web para el  registro de matrícula</t>
  </si>
  <si>
    <t xml:space="preserve">2013-2 </t>
  </si>
  <si>
    <t>1575 calif. SS</t>
  </si>
  <si>
    <t>ESTATÈGICO</t>
  </si>
  <si>
    <t>GESTION DE LA DIRECCIÒN</t>
  </si>
  <si>
    <t>EFICACIA DEL SISTEMA DE GESTION DE CALIDAD (SGC)</t>
  </si>
  <si>
    <t xml:space="preserve">Evaluar el nivel de eficacia del Sistema de Gestión de la Calidad en la Universidad </t>
  </si>
  <si>
    <t>FORMULA DE CÁLCULO</t>
  </si>
  <si>
    <t>Meta de eficacia fijada para cada uno de los procesos - (Sumatoria del resultado obtenido por los procesos, frente a la medición de cada uno de los objetivos de calidad * El resultado de la verificación entre el resultado obtenido por cada uno de los objetivos de la calidad frente a su ponderación) * 100</t>
  </si>
  <si>
    <t xml:space="preserve">PERIODO DE MEDICION: </t>
  </si>
  <si>
    <t>FUENTE</t>
  </si>
  <si>
    <t xml:space="preserve">* Informe de revisión por la Dirección
* El resultado de la verificación entre el resultado obtenido por cada uno de los objetivos de la calidad frente a su ponderación, la cual es:
1. Indicador de satisfacción 20%
2. Indicador de Acuerdos de servicio 30%
3. Indicador de quejas 20%
4. Indicador de eficacia de los procesos 30%
</t>
  </si>
  <si>
    <t>EFICACIA DEL SISTEMA DE GESTIÓN DE CALIDAD</t>
  </si>
  <si>
    <t xml:space="preserve">Mejora del 3% frente al cumplimento de las metas de los indicadores </t>
  </si>
  <si>
    <t>Cumplimiento Objetivos de calidad</t>
  </si>
  <si>
    <t xml:space="preserve">Formula </t>
  </si>
  <si>
    <t xml:space="preserve">Meta de eficacia fijada para cada uno de los procesos </t>
  </si>
  <si>
    <t xml:space="preserve">Sumatoria del resultado obtenido por los procesos, frente a la medición de cada uno de los objetivos de calidad </t>
  </si>
  <si>
    <t>El resultado de la verificación entre el resultado obtenido por cada uno de los objetivos de la calidad frente a su ponderación) * 100</t>
  </si>
  <si>
    <t>% de eficacia del SGC</t>
  </si>
  <si>
    <t>PONDERACIÓN</t>
  </si>
  <si>
    <t>Cumplimiento Objetivos 
2010-2</t>
  </si>
  <si>
    <t>PROMEDIO PONDERADO
2010-2</t>
  </si>
  <si>
    <t>Cumplimiento Objetivos 
2011-1</t>
  </si>
  <si>
    <t>PROMEDIO PONDERADO
2011-1</t>
  </si>
  <si>
    <t>Cumplimiento Objetivos 
2011-2</t>
  </si>
  <si>
    <t>PROMEDIO PONDERADO
2011-2</t>
  </si>
  <si>
    <t>Cumplimiento Objetivos 
2012-1</t>
  </si>
  <si>
    <t>PROMEDIO PONDERADO
2012-1</t>
  </si>
  <si>
    <t>Cumplimiento Objetivos 
2012-2</t>
  </si>
  <si>
    <t>PROMEDIO PONDERADO
2012-2</t>
  </si>
  <si>
    <t>Cumplimiento Objetivos 
2013-1</t>
  </si>
  <si>
    <t>PROMEDIO PONDERADO
2013-1</t>
  </si>
  <si>
    <t>Cumplimiento Objetivos 
2013-2</t>
  </si>
  <si>
    <t>PROMEDIO PONDERADO
2013-2</t>
  </si>
  <si>
    <t xml:space="preserve">Lograr que la percepción de la satisfacción por parte de los usuarios sobre la calidad de los servicios prestados por los procesos administrativos estén como mínimo, sobre un 80% a partir del año 2010.
</t>
  </si>
  <si>
    <t xml:space="preserve">Atender en un 80%, los servicios solicitados de conformidad a los acuerdos de servicios establecidos.
</t>
  </si>
  <si>
    <t xml:space="preserve">Mejorar en mínimo el 20% la gestión de atención de quejas respecto de la medición del semestre anterior. 
</t>
  </si>
  <si>
    <t>Mejorar en un 3% el resultado de los indicadores que cumplieron las metas de eficacia definidas para los procesos, respecto al comportamiento del semestre  anterior.</t>
  </si>
  <si>
    <t>2014-1</t>
  </si>
  <si>
    <t>2014-2</t>
  </si>
  <si>
    <t>Cumplimiento en el tiempo de entrega de la liquidación parcial del auxilio de Cesantías</t>
  </si>
  <si>
    <t>No. CALIFICACIONES DEL SS</t>
  </si>
  <si>
    <t xml:space="preserve">% PROMEDIO DE CALIFICACIONES DEL SS
</t>
  </si>
  <si>
    <t>BU - Atención médica</t>
  </si>
  <si>
    <t>BU - Atención Psicologica</t>
  </si>
  <si>
    <t>Salas de computo</t>
  </si>
  <si>
    <t>RESULTADOS ENCUESTA DE SATISFACCIÓN</t>
  </si>
  <si>
    <t>773 calif. SS</t>
  </si>
  <si>
    <t>802 calif. SS</t>
  </si>
  <si>
    <t>GESTION INFORMATICA
(Sede Centro y Belmonte)</t>
  </si>
  <si>
    <t>BIENESTAR UNIVERSITARIO
(Sede Centro y Belmonte)</t>
  </si>
  <si>
    <t>GESTIÓN DE BIBLIOTECA
(Sede Centro y Belmonte)</t>
  </si>
  <si>
    <t>ADMISIONES Y REGISTRO
(Sede Centro y Belmonte)</t>
  </si>
  <si>
    <t xml:space="preserve">2014-1 </t>
  </si>
  <si>
    <t xml:space="preserve">2014-2 </t>
  </si>
  <si>
    <t>Cumplimiento Objetivos 
2014-1</t>
  </si>
  <si>
    <t>PROMEDIO PONDERADO
2014-1</t>
  </si>
  <si>
    <t>Cumplimiento Objetivos 
2014-2</t>
  </si>
  <si>
    <t>PROMEDIO PONDERADO
2014-2</t>
  </si>
  <si>
    <t>II -2010</t>
  </si>
  <si>
    <t>2011-II</t>
  </si>
  <si>
    <t>2015-1</t>
  </si>
  <si>
    <t>2015-2</t>
  </si>
  <si>
    <t>NOMBRE DEL INDICADOR</t>
  </si>
  <si>
    <t>FORMULA</t>
  </si>
  <si>
    <t>Uso y apropiación del sistema SINU vía Web, para el registro de matricula</t>
  </si>
  <si>
    <t>Número de estudiantes que realizaron el registro de materias por  internet / Total de estudiantes matriculados * 100%</t>
  </si>
  <si>
    <t>Numero de certificaciones y constancias entregadas dentro de los tiempos establecidos / Numero de solicitudes presentadas en el período * 100%</t>
  </si>
  <si>
    <t>(Número de docentes que entregan notas dentro del tiempo establecido/ total de docentes) * 100%</t>
  </si>
  <si>
    <t>Número de certificados no reprocesados/número total de certificados elaborados en el período) * 100%</t>
  </si>
  <si>
    <t>Gestión de Compras: Total de solicitudes atendidas en el periodo / Total de solicitudes recibidas en el periodo * 100</t>
  </si>
  <si>
    <t>Gestión de Compras: Total de solicitudes devueltas por errores o fallas en el periodo / Total de solicitudes recibidas en el periodo * 100</t>
  </si>
  <si>
    <t>Gestión de Compras: Total de solicitudes no tramitadas en el periodo / Total de solicitudes recibidas en el periodo * 100</t>
  </si>
  <si>
    <t>Número de solicitudes tramitadas en los tiempos establecidos en el acuerdo  de servicio / Total de solicitudes recibidas en el periodo por rango  *100%</t>
  </si>
  <si>
    <t>(Fecha de entrega de los productos - Fecha de radicación del pedido en almacén) / Total de pedidos entregados en el periodo</t>
  </si>
  <si>
    <t>Días promedio para el trámite de cuentas por pagar
(Acuerdo)</t>
  </si>
  <si>
    <t>Número de cuentas auditadas (control previo) dentro de los plazos establecidos en el acuerdo de servicio / Total de cuentas recibidas en el mes  * 100%</t>
  </si>
  <si>
    <t>Número de puestos de lectura / Número total de alumnos  * 100%</t>
  </si>
  <si>
    <t>Total de alumnos nuevos que reciben la inducción / Total de alumnos nuevos matriculados * 100%</t>
  </si>
  <si>
    <t>N° de actividades programadas ejecutadas / Total de actividades programadas * 100%</t>
  </si>
  <si>
    <t>Sumatoria de la Calificación de la encuesta de satisfacción área de salud y desarrollo humano en el semestre en el servicio de psicología / No. Total de encuestas del semestre en el Servicio Médico</t>
  </si>
  <si>
    <t>Sumatoria de la Calificación de la encuesta de satisfacción área de salud y desarrollo humano en el semestre en el servicio de psicología /No. Total de encuestas del semestre en el servicio de psicología</t>
  </si>
  <si>
    <t>Número de quejas recurrentes por proceso / Total de quejas del semestre por proceso * 100%</t>
  </si>
  <si>
    <t>No. de quejas cerradas en el semestre por proceso / Total de quejas del semestre por proceso * 100%</t>
  </si>
  <si>
    <t>No. de quejas respondidas dentro de los 8 días calendario posteriores a la entrega de la queja al proceso / Total de quejas del semestre por proceso * 100%</t>
  </si>
  <si>
    <t>Número de cuentas radicadas dentro de los plazos establecidos en el acuerdo de servicio / Total de cuentas recibidas en el mes  * 100%</t>
  </si>
  <si>
    <t>Número de cuentas causadas dentro de los plazos establecidos en el acuerdo de servicio / Total de cuentas recibidas para causación en el mes  * 100%</t>
  </si>
  <si>
    <t>Número de cuentas giradas dentro de los plazos establecidos en el acuerdo de servicio / Total de cuentas recibidas en el mes  * 100%</t>
  </si>
  <si>
    <t>(((Valor del total del presupuesto de inversión modificado - Adición de recursos de capital) - valor del presupuesto total de inversión aprobado) / valor total del presupuesto de inversión aprobado) * 100%</t>
  </si>
  <si>
    <t>(((Valor del presupuesto de ingresos operacional y no operacionales  modificado - Adición de recursos de capital) - Valor del presupuesto de ingresos operacional y no operacionales aprobado) / valor total del presupuesto de ingresos operacional y no operacionales aprobado) * 100%</t>
  </si>
  <si>
    <t>(valor de los créditos directos recaudados / valor  de los créditos directos otorgados por período) * 100%</t>
  </si>
  <si>
    <t>Valor total del recaudo mes de los créditos a través de entidades financieras/valor total de los créditos otorgados por las entidades financieras) * 100%</t>
  </si>
  <si>
    <t>Fecha entrega de estados financieros - Fecha establecida en el cronograma de presidencia para la entrega de estados financieros</t>
  </si>
  <si>
    <t>Asignación de disponibilidad presupuestal
(Acuerdo)</t>
  </si>
  <si>
    <t>Numero de solicitudes tramitadas dentro del plazo establecido en el acuerdo de servicios / Total de solicitudes radicadas * 100%</t>
  </si>
  <si>
    <t>Numero de certificaciones entregadas dentro del plazo establecido en el acuerdo de servicio / número de certificaciones solicitadas * 100%</t>
  </si>
  <si>
    <t>Número de personas de planta que superaron el periodo de prueba / Número total de personas vinculadas de planta * 100%</t>
  </si>
  <si>
    <t>Sumatoria del numero de trabajadores evaluados que obtuvieron una calificación mayor o igual a setenta (70) puntos en la evaluación de desempeño/desarrollo / Total trabajadores evaluados * 100%</t>
  </si>
  <si>
    <t xml:space="preserve"> Atención a requerimientos audiovisuales
(Acuerdo)</t>
  </si>
  <si>
    <t>Requerimientos tramitados en los tiempos establecidos en el acuerdo de servicio / 
Total de requerimientos recibidos * 100%</t>
  </si>
  <si>
    <t>Atención a solicitudes de  mantenimiento correctivo y preventivo de recursos informáticos</t>
  </si>
  <si>
    <t>Número de solicitudes atendidas / 
Total de requerimientos * 100%</t>
  </si>
  <si>
    <t>Verificación del correcto funcionamiento de los equipos de cómputo al servicio de docentes y estudiantes (acuerdo)</t>
  </si>
  <si>
    <t>No de equipos de cómputo  verificados que estén funcionando correctamente al servicio de docentes y estudiantes dentro del  tiempo establecido en el acuerdo de servicio /Total de equipos de cómputo al servicio de docentes y estudiantes * 100%</t>
  </si>
  <si>
    <t>No de Incidentes cerrados en los  equipos de cómputo al servicio de docentes y estudiantes./Total de equipos de cómputo  verificados*100%</t>
  </si>
  <si>
    <t>Nº solicitudes de servicio de mantenimiento atendidas en el tiempo establecido / Nº solicitudes de servicio de mantenimiento recibidas * 100%</t>
  </si>
  <si>
    <t>N° de actividades programadas ejecutadas / Total de actividades programadas * 100</t>
  </si>
  <si>
    <t>(No de servicios calificados con excelente-bueno o 5-4 /Total de servicios atendidos en el semestre ) * 100%</t>
  </si>
  <si>
    <t>421 calif. SS</t>
  </si>
  <si>
    <t>641 calif. SS</t>
  </si>
  <si>
    <t>1062 calif. SS</t>
  </si>
  <si>
    <t>Ejecución presupuestal</t>
  </si>
  <si>
    <t>Confiabilidad en la información de los certificados (Acuerdo)</t>
  </si>
  <si>
    <t xml:space="preserve">Días promedio para el tramité de solicitudes de compra por rango (Acuerdo)
</t>
  </si>
  <si>
    <t xml:space="preserve">Ejecución del programa de mantenimiento de libros </t>
  </si>
  <si>
    <t>GESTION DE SERV. GENERALES (MANTENIMIENTO)
(Sede Centro y Belmonte)</t>
  </si>
  <si>
    <t>GESTION DE INFORMATICA
(Sede Centro y Belmonte)</t>
  </si>
  <si>
    <t>2143 calif. SS</t>
  </si>
  <si>
    <t xml:space="preserve">2015-1 </t>
  </si>
  <si>
    <t xml:space="preserve">2015-2 </t>
  </si>
  <si>
    <t>1029 calif. SS</t>
  </si>
  <si>
    <t>1114 calif. SS</t>
  </si>
  <si>
    <t>Cumplimiento Objetivos 
2015-1</t>
  </si>
  <si>
    <t>PROMEDIO PONDERADO
2015-1</t>
  </si>
  <si>
    <t>Cumplimiento Objetivos 
2015-2</t>
  </si>
  <si>
    <t>PROMEDIO PONDERADO
2015-2</t>
  </si>
  <si>
    <t>Seguimiento al cumplimiento de los días establecidos en acuerdo de servicio para el trámite - cuentas por pagar.</t>
  </si>
  <si>
    <t>Cumplimiento de los días establecidos en el acuerdo de servicio para el  trámite cuentas por pagar</t>
  </si>
  <si>
    <t>Quejas respondidas dentro del tiempo establecido</t>
  </si>
  <si>
    <t>2016-1</t>
  </si>
  <si>
    <t>2016-2</t>
  </si>
  <si>
    <t>GESTIÓN DOCUMENTAL</t>
  </si>
  <si>
    <t>Cumplimiento del Cronograma de transferencias documentales</t>
  </si>
  <si>
    <t>No. de trasferencias realizadas en el Año/ No. de trasferencias programadas en el Año x 100%</t>
  </si>
  <si>
    <t>Servicio de búsqueda y préstamo de Documentos (acuerdo)</t>
  </si>
  <si>
    <t>Número de solicitudes entregadas dentro de los tiempos establecidos / Número de solicitudes presentadas en el período * 100</t>
  </si>
  <si>
    <t xml:space="preserve">2016-1 </t>
  </si>
  <si>
    <t xml:space="preserve">2016-2 </t>
  </si>
  <si>
    <t>Bogotá, Barranquilla  y Pereira</t>
  </si>
  <si>
    <t>No. de volúmenes de material bibliogáfico perdido anualmente / No. total de volúmenes de material bibliográfico x 100%</t>
  </si>
  <si>
    <t>Cumplimiento Objetivos 
2016-1</t>
  </si>
  <si>
    <t>PROMEDIO PONDERADO
2016-1</t>
  </si>
  <si>
    <t>Cumplimiento Objetivos 
2016-2</t>
  </si>
  <si>
    <t>PROMEDIO PONDERADO
2016-2</t>
  </si>
  <si>
    <r>
      <t xml:space="preserve">306 </t>
    </r>
    <r>
      <rPr>
        <sz val="12"/>
        <rFont val="Arial"/>
        <family val="2"/>
      </rPr>
      <t>ENCUESTAS APLICADAS</t>
    </r>
  </si>
  <si>
    <r>
      <t xml:space="preserve">370 </t>
    </r>
    <r>
      <rPr>
        <sz val="12"/>
        <rFont val="Arial"/>
        <family val="2"/>
      </rPr>
      <t>ENCUESTAS APLICADAS</t>
    </r>
  </si>
  <si>
    <r>
      <t xml:space="preserve">973 </t>
    </r>
    <r>
      <rPr>
        <sz val="12"/>
        <rFont val="Arial"/>
        <family val="2"/>
      </rPr>
      <t>ENCUESTAS APLICADAS</t>
    </r>
  </si>
  <si>
    <r>
      <t xml:space="preserve">317 </t>
    </r>
    <r>
      <rPr>
        <sz val="12"/>
        <rFont val="Arial"/>
        <family val="2"/>
      </rPr>
      <t>ENCUESTAS APLICADAS</t>
    </r>
  </si>
  <si>
    <r>
      <t xml:space="preserve">347 </t>
    </r>
    <r>
      <rPr>
        <sz val="12"/>
        <rFont val="Arial"/>
        <family val="2"/>
      </rPr>
      <t>ENCUESTAS APLICADAS</t>
    </r>
  </si>
  <si>
    <r>
      <t xml:space="preserve">139 </t>
    </r>
    <r>
      <rPr>
        <sz val="12"/>
        <rFont val="Arial"/>
        <family val="2"/>
      </rPr>
      <t>ENCUESTAS APLICADAS</t>
    </r>
  </si>
  <si>
    <t>ENCUESTAS DE SATISFACCIÓN
PROMEDIO SECCIONAL PEREIRA</t>
  </si>
  <si>
    <t>GESTION DOCUMENTAL</t>
  </si>
  <si>
    <t>GESTION  DOCUMENTAL</t>
  </si>
  <si>
    <t>Eliminación Documental</t>
  </si>
  <si>
    <t xml:space="preserve">Gestión Documental </t>
  </si>
  <si>
    <t>Gestión Documental</t>
  </si>
  <si>
    <t>1901 calif. SS</t>
  </si>
  <si>
    <t>1041 calif. SS</t>
  </si>
  <si>
    <t>860 calif. SS</t>
  </si>
  <si>
    <t>Mayo 10, 11 y 12  Y 10 de junio de 2016</t>
  </si>
  <si>
    <t>Octubre 3, 4 y 5 de 2016</t>
  </si>
  <si>
    <t>GESTIÓN DE LA BIBLIOTECA</t>
  </si>
  <si>
    <t>GESTIÓN AUDITORIA INTERNA</t>
  </si>
  <si>
    <t>OBS</t>
  </si>
  <si>
    <t>2017-1</t>
  </si>
  <si>
    <t>2017-2</t>
  </si>
  <si>
    <t>DOCENCIA</t>
  </si>
  <si>
    <t>INVESTIGACIÓN</t>
  </si>
  <si>
    <t>PROYECCIÓN SOCIAL</t>
  </si>
  <si>
    <t>INTERNACIONALIZACIÓN</t>
  </si>
  <si>
    <t>No de programas que obtuvieron acreditación de alta calidad en el periodo/ Total de programas sometidos a acreditación de alta calidad en el periodo * 100%</t>
  </si>
  <si>
    <t>No de programas que obtuvieron de registro calificado en el periodo/ Total de programas sometidos a registro y/o renovación * 100%</t>
  </si>
  <si>
    <t>Evaluación Docente</t>
  </si>
  <si>
    <t xml:space="preserve">4,5 - 5,0 </t>
  </si>
  <si>
    <t>Movilidad docente</t>
  </si>
  <si>
    <t>No. de Estudiantes de pregrado y postgrado que realizaron movilidad internacional entrante y saliente durante el periodo / Total de Estudiantes de pregrado y postgrado.</t>
  </si>
  <si>
    <t>Grupos de investigación reconocidos por Colciencias</t>
  </si>
  <si>
    <t>Número de grupos de investigación categorizados en A1, A, B y C  por Colciencias / Total de Grupos de investigación categorizados en  A1, A, B, C y D categorizados por Colciencias</t>
  </si>
  <si>
    <t>Evaluación cumplimiento actividades de los grupos de investigación</t>
  </si>
  <si>
    <t>Sumatoria del total de la valoración final de las actividades investigativas de los Grupos de Investigación/ Número total de las evaluaciones de las actividades investigativas de los Grupos de Investigación</t>
  </si>
  <si>
    <t>DIRECCIÓN ESTRATÉGICA</t>
  </si>
  <si>
    <t>Sumatoria: (Ponderación del Objetivo 1 de la calidad: ((Indicadores de satisfacción* 60%) + (Indicadores de quejas* 20%) + (Calificaciones del Servicio* 20%))* 40%) + (Objetivo 2 de la calidad: (Indicadores de Acuerdos de servicio) * 30%) + (Objetivo 3 de la calidad: (Indicador de eficacia de los procesos) * 30%)</t>
  </si>
  <si>
    <t>Ponderación:
Objetivo 1 de la calidad: ((Indicadores de satisfacción* 60%) + (Indicadores de quejas* 20%) + (Calificaciones del Servicio* 20%))* 40%
Objetivo 2 de la calidad: (Indicadores de Acuerdos de servicio) * 30%
Objetivo 3 de la calidad: (Indicador de eficacia de los procesos) * 30%</t>
  </si>
  <si>
    <t>Máximo que el 20% de las quejas del semestre sean recurrentes.
(Equivale al 8% del total del Objetivo 1)</t>
  </si>
  <si>
    <t>Cerrar un 90% del total de quejas recibidas en el periodo
(Equivale al 6% del total del Objetivo 1)</t>
  </si>
  <si>
    <t>Responder dentro del tiempo establecido un 80% del total de quejas recibidas en el periodo
(Equivale al 6% del total del Objetivo 1)</t>
  </si>
  <si>
    <t>GESTIÓN DOCUMENTAL (GDO)</t>
  </si>
  <si>
    <t xml:space="preserve">2017-1 </t>
  </si>
  <si>
    <t xml:space="preserve">PROYECCION SOCIAL </t>
  </si>
  <si>
    <t xml:space="preserve">INTERNACIONALIZACIÓN </t>
  </si>
  <si>
    <t xml:space="preserve"> DIRECCIÓN ESTRATÉGICA</t>
  </si>
  <si>
    <t>ASEGURAMIENTO DE LA CALIDAD</t>
  </si>
  <si>
    <t>Investigación</t>
  </si>
  <si>
    <t>DE</t>
  </si>
  <si>
    <t>GDO</t>
  </si>
  <si>
    <t>INV</t>
  </si>
  <si>
    <t>PS</t>
  </si>
  <si>
    <t>INT</t>
  </si>
  <si>
    <t xml:space="preserve">DOCENCIA </t>
  </si>
  <si>
    <t xml:space="preserve">INVESTIGACIONES </t>
  </si>
  <si>
    <t>Consolidado de No conformidades Auditorias Externas</t>
  </si>
  <si>
    <t>Procesos</t>
  </si>
  <si>
    <t>BUREAU VERITAS</t>
  </si>
  <si>
    <t>SGS</t>
  </si>
  <si>
    <t>Auditoria de Certificación</t>
  </si>
  <si>
    <t>Auditoria de Seguimiento</t>
  </si>
  <si>
    <t>Auditoria de Seguimiento 2</t>
  </si>
  <si>
    <t>Auditoria de Seguimiento 3</t>
  </si>
  <si>
    <t>Auditoria de Seguimiento 4</t>
  </si>
  <si>
    <t>Auditoria de Seguimiento 5</t>
  </si>
  <si>
    <t>Auditoria de Recertificación</t>
  </si>
  <si>
    <t>Auditoria de Seguimiento 1</t>
  </si>
  <si>
    <t>Bogotá, Cúcuta y Socorro</t>
  </si>
  <si>
    <t>Bogotá, Cartagena y Socorro</t>
  </si>
  <si>
    <t>Bogotá, Pereira y Barranquilla</t>
  </si>
  <si>
    <t>Bogotá, Cali y Cúcuta</t>
  </si>
  <si>
    <t>Dirección Estratégica</t>
  </si>
  <si>
    <t>Aseguramiento de la Calidad</t>
  </si>
  <si>
    <t>Docencia</t>
  </si>
  <si>
    <t>Aud Certif</t>
  </si>
  <si>
    <t>Aud Seg 1</t>
  </si>
  <si>
    <t>Aud Seg 2</t>
  </si>
  <si>
    <t>Aud Seg 3</t>
  </si>
  <si>
    <t>Aud Seg 4</t>
  </si>
  <si>
    <t>Aud Seg 5</t>
  </si>
  <si>
    <t>Aud Recerti</t>
  </si>
  <si>
    <t>Aud Seg Recert</t>
  </si>
  <si>
    <t>Aud  Seg 4</t>
  </si>
  <si>
    <t xml:space="preserve">Aud. Seg 1 </t>
  </si>
  <si>
    <t>Aud. Seg 2</t>
  </si>
  <si>
    <t xml:space="preserve">Barranquilla </t>
  </si>
  <si>
    <t xml:space="preserve">Pereira </t>
  </si>
  <si>
    <t>EVALUACIÓN A PROVEEDORES OBTENIDAS</t>
  </si>
  <si>
    <t>2017 - I</t>
  </si>
  <si>
    <t>2017 - II</t>
  </si>
  <si>
    <t>RESULTADO FINAL</t>
  </si>
  <si>
    <t>Incidentes atendidos a los equipos de computo al servicio de docentes y estudiantes (Acuerdo) 2</t>
  </si>
  <si>
    <t>Asignación de disponibilidad presupuestal (Acuerdo- Trimestral)  (2 y 3)</t>
  </si>
  <si>
    <t xml:space="preserve">PROYECCIÓN SOCIAL </t>
  </si>
  <si>
    <t>Presupuesto total ejecutado por Bienestar Universitario / Presupuesto total ejecutado en la Institución*100</t>
  </si>
  <si>
    <t>Número de actividades del Plan Anual de Trabajo ejecutados / Número total de actividades del Plan Anual de Trabajo*100</t>
  </si>
  <si>
    <t>Participación  en programas en salud</t>
  </si>
  <si>
    <t>Actividades del cronograma del Sistema de Gestión de la Calidad finalizadas dentro de los tiempos establecidos / Numero total de actividades programadas en el año * 100%</t>
  </si>
  <si>
    <t xml:space="preserve">Internacionalización </t>
  </si>
  <si>
    <t>PROY. SOCIAL</t>
  </si>
  <si>
    <t>Direccion Estratégica</t>
  </si>
  <si>
    <t>Administrativo</t>
  </si>
  <si>
    <t>Docente</t>
  </si>
  <si>
    <t>Egresado</t>
  </si>
  <si>
    <t xml:space="preserve">Investigación </t>
  </si>
  <si>
    <t>Estudiante posgrado</t>
  </si>
  <si>
    <t>Estudiante pregrado</t>
  </si>
  <si>
    <t>Usuario externo</t>
  </si>
  <si>
    <t>Quejas en proceso</t>
  </si>
  <si>
    <t>Quejas sin tramitar</t>
  </si>
  <si>
    <t>Gestión de Admisiones y Registro</t>
  </si>
  <si>
    <t>Quejas Recurrentes</t>
  </si>
  <si>
    <t>Quejas que requieren acción correctiva</t>
  </si>
  <si>
    <t>Gestión de Adq y Suministros</t>
  </si>
  <si>
    <t xml:space="preserve">Atención al Usuario </t>
  </si>
  <si>
    <t>Incumplimiento de plazos o Requisito</t>
  </si>
  <si>
    <t>Horarios de atención</t>
  </si>
  <si>
    <t xml:space="preserve">Atención Telefónica </t>
  </si>
  <si>
    <t xml:space="preserve">Fallas del Sistema - WiFi </t>
  </si>
  <si>
    <t>Seguridad</t>
  </si>
  <si>
    <t>Recursos e Infraestructura</t>
  </si>
  <si>
    <t>Otro</t>
  </si>
  <si>
    <t>Cumplimiento en  la entrega de correspondencia(AS) 2 y 3</t>
  </si>
  <si>
    <t>(((Valor del total del presupuesto de gastos modificado - Adición de recursos de capital) - valor total del presupuesto de gastos aprobado) / valor total del presupuesto de gastos aprobado) * 100%</t>
  </si>
  <si>
    <t>Expedición de certificaciones laborales (AS)</t>
  </si>
  <si>
    <t>80% o superior de las personas vinculadas superen el periodo de prueba</t>
  </si>
  <si>
    <t>1.809 calif. SS</t>
  </si>
  <si>
    <t>298 calif. SS</t>
  </si>
  <si>
    <t>1.511 calif. SS</t>
  </si>
  <si>
    <r>
      <t xml:space="preserve">2.513 </t>
    </r>
    <r>
      <rPr>
        <sz val="12"/>
        <rFont val="Arial"/>
        <family val="2"/>
      </rPr>
      <t>ENCUESTAS APLICADAS</t>
    </r>
  </si>
  <si>
    <t>EGRESADOS</t>
  </si>
  <si>
    <t>SECTOR EXT</t>
  </si>
  <si>
    <t>Internacinalización</t>
  </si>
  <si>
    <t>PROCESO(S)</t>
  </si>
  <si>
    <t>EVALUACIÓN (0-5)</t>
  </si>
  <si>
    <t>% DE SATISFACCIÓN</t>
  </si>
  <si>
    <t>TAMAÑO DE LA MUESTRA</t>
  </si>
  <si>
    <t>GRUPOS FOCALES APLICADOS</t>
  </si>
  <si>
    <t>SERVICIOS GENERALES</t>
  </si>
  <si>
    <t>GESTIÓN DE ADQUISIONES Y SUMINISTROS</t>
  </si>
  <si>
    <t>GRAN TOTAL</t>
  </si>
  <si>
    <t>Objetivo 1</t>
  </si>
  <si>
    <t xml:space="preserve">Mejorar la percepción de satisfacción de la comunidad Unilibrista frente a la calidad de los servicios prestados por la universidad.
</t>
  </si>
  <si>
    <t>Objetivo 2</t>
  </si>
  <si>
    <t>19 indicadores de acuerdos de servicio  medidos</t>
  </si>
  <si>
    <t>Cumplir con las necesidades y expectativas de nuestros usuarios a través de los Acuerdos de Servicio, los requisitos técnicos y la reglamentación establecida por la Universidad</t>
  </si>
  <si>
    <t xml:space="preserve">Garantizar la eficacia y eficiencia de los procesos que aseguren la excelencia y calidad institucional
</t>
  </si>
  <si>
    <t>movilidad estudiantil</t>
  </si>
  <si>
    <t>Objetivo 3</t>
  </si>
  <si>
    <t>Mejorar la percepción de satisfacción de la comunidad Unilibrista frente a la calidad de los servicios prestados por la universidad.</t>
  </si>
  <si>
    <t>Calificaciones del servicio</t>
  </si>
  <si>
    <t>Encuesta</t>
  </si>
  <si>
    <t>EFICACIA DEL SGC</t>
  </si>
  <si>
    <t>Garantizar la eficacia y eficiencia de los procesos que aseguren la excelencia y calidad institucional</t>
  </si>
  <si>
    <t>Ponderación objetivo 1 de calidad</t>
  </si>
  <si>
    <t>Indicadores de satifacción *60%</t>
  </si>
  <si>
    <t xml:space="preserve">Indicadores de quejas* 20% </t>
  </si>
  <si>
    <t xml:space="preserve">Objetivo 2 de la calidad: </t>
  </si>
  <si>
    <t>(Indicadores de Acuerdos de servicio) * 30%)</t>
  </si>
  <si>
    <t xml:space="preserve">Objetivo 3 de la calidad: </t>
  </si>
  <si>
    <t>Indicador de eficacia de los procesos) * 30%)</t>
  </si>
  <si>
    <t>Calificaciones del Servicio* 20%)</t>
  </si>
  <si>
    <t xml:space="preserve">Total proveedores Evaluados </t>
  </si>
  <si>
    <t>INDICADORES DE ACUERDOS DE SERVICIO</t>
  </si>
  <si>
    <t>Cantidad</t>
  </si>
  <si>
    <t>Indicadores que Cumplen</t>
  </si>
  <si>
    <t>Indicadores que No Cumplieron pero se mantienen</t>
  </si>
  <si>
    <t>Indicadores que desmejoraron</t>
  </si>
  <si>
    <t>Indicadores N/A</t>
  </si>
  <si>
    <t>Total</t>
  </si>
  <si>
    <t>INDICADORES DE EFICACIA</t>
  </si>
  <si>
    <t>DOCENCIA (Facultad CEAC)</t>
  </si>
  <si>
    <t>DOCENCIA (Facultad Ingenierías)</t>
  </si>
  <si>
    <t>SEGURIDAD Y SALUD EN EL TRABAJO</t>
  </si>
  <si>
    <t>Cumplimiento (esta relacionado con el grado de consecución de tareas y/o actividades de la auditoría Interna)</t>
  </si>
  <si>
    <t>No. de actividades de auditoría ejecutadas / total de actividades de auditoría planeadas * 100</t>
  </si>
  <si>
    <t>2018-1</t>
  </si>
  <si>
    <t>2018-2</t>
  </si>
  <si>
    <t>Promoción y Mk</t>
  </si>
  <si>
    <t>No. DE RIESGOS</t>
  </si>
  <si>
    <t>Operativo</t>
  </si>
  <si>
    <t>No. NO CONFORMIDADES</t>
  </si>
  <si>
    <t>No. OBSERVACIONES</t>
  </si>
  <si>
    <t xml:space="preserve">INVESTIGACIÓN </t>
  </si>
  <si>
    <t>Gestión de Informatica (helppeople) y página web</t>
  </si>
  <si>
    <t>total de No Conformidades solucionadas eficazmente / Total de No Conformidades reportadas * 100%</t>
  </si>
  <si>
    <t xml:space="preserve">UNIVERSIDAD LIBRE SECCIONAL PEREIRA
AUDITORIAS INTERNAS DE CALIDAD </t>
  </si>
  <si>
    <t>ACCIONES CORRECTIVAS</t>
  </si>
  <si>
    <t>% CUMPL.</t>
  </si>
  <si>
    <t>TOTAL ACCIONES CORRECTIVAS O CORRECCIONES</t>
  </si>
  <si>
    <t>Número de volúmenes disponibles físicos y electrónicos / Número total de alumnos matriculados</t>
  </si>
  <si>
    <t>Proporción de volúmenes por alumno (2 )</t>
  </si>
  <si>
    <t>Índice de crecimiento en el número de títulos adquiridos (2)</t>
  </si>
  <si>
    <t>No. de Docentes de pregrado y postgrado beneficiados con programas de movilidad internacional entrante y saliente / Total de Docentes de pregrado y posgrado de la Facultad con un mínimo de antigüedad de tres años como docente o de medio tiempo o jornada con un mínimo de antigüedad de seis años.</t>
  </si>
  <si>
    <t>(Número total de participantes en los grupos representativos y/o Competitivos*1)+(Número total de participantes en actividades formativas*0,6)+(Número total de participantes en actividades recreativas*0,3) / Numero total de la población de la Comunidad Unilibrista en el Semestre * 100%</t>
  </si>
  <si>
    <t>(Número total de participantes en las grupos representativos en actividades Culturales*1)+(Número total de participantes en actividades culturales formativas*0,6)+(Número total de participantes en actividades culturales recreativas*0,3) / Numero total de la población de la Comunidad Unilibrista en el Semestre * 100%</t>
  </si>
  <si>
    <t>Participación en programas de Desarrollo Humano</t>
  </si>
  <si>
    <t>Se aplicaron encuestas de necesidades y expectativas</t>
  </si>
  <si>
    <t>2019-1</t>
  </si>
  <si>
    <t>2019-2</t>
  </si>
  <si>
    <t>ND</t>
  </si>
  <si>
    <t>% MEJORA</t>
  </si>
  <si>
    <t>Proporción de volúmenes por alumno (2 y 3)</t>
  </si>
  <si>
    <t>Índice de crecimiento en el número de títulos adquiridos (2 y 3)</t>
  </si>
  <si>
    <t>Cumplimiento del Plan de Implementación del Cambio</t>
  </si>
  <si>
    <t>Eficacia de las acciones de Gestión del Riesgo</t>
  </si>
  <si>
    <t>OBJETIVO "2" DE CALIDAD (ACUERDOS DE SERVICIO)</t>
  </si>
  <si>
    <t>OBJETIVO "3" DE CALIDAD (INDICADORES DE PROCESO)</t>
  </si>
  <si>
    <t>932 calif. SS</t>
  </si>
  <si>
    <t>1291 calif. SS</t>
  </si>
  <si>
    <t>Equivale al</t>
  </si>
  <si>
    <t>INVESTIGACIÓN 
Facultad Ciencias Económicas, AC
Facultad de Derecho
Facultad de Ingenierías
Facutad de Ciencias de la Salud</t>
  </si>
  <si>
    <t>Bogotá, Barranquilla y Pereira</t>
  </si>
  <si>
    <t>Noviembre 27 al 30 de 2019</t>
  </si>
  <si>
    <t>Bogotá, Caku  y Pereira</t>
  </si>
  <si>
    <t>Proyección social</t>
  </si>
  <si>
    <t>Servicios generales</t>
  </si>
  <si>
    <t>2018 - I</t>
  </si>
  <si>
    <t>2018 - II</t>
  </si>
  <si>
    <t>2019 - I</t>
  </si>
  <si>
    <t>2019 - II</t>
  </si>
  <si>
    <t>Proveedores Evaluados Satisfactoriamente              (calificados con puntaje mayor o igual a 3.5)</t>
  </si>
  <si>
    <t>Proveedores evaluados insatisfactoriamente           (calificados con puntaje inferior a 3.5 y mayor o igual a 3.0 )</t>
  </si>
  <si>
    <t>Proveedores deshabilitados del Registro     (Evaluados por debajo de  3.0)</t>
  </si>
  <si>
    <t>ASEGURAMIENTO DE LA CALIDAD (AC)</t>
  </si>
  <si>
    <t>DIRECCIÓN ESTRATÉGICA (DE)</t>
  </si>
  <si>
    <t>GESTIÓN DE BIBLIOTECA (GB)</t>
  </si>
  <si>
    <t>GESTIÓN DE AUDITORÍA INTERNA (GC)</t>
  </si>
  <si>
    <t>GESTIÓN FINANCIERA (GF)</t>
  </si>
  <si>
    <t>GESTIÓN DE ADMISIONES Y REGISTROS (GR)</t>
  </si>
  <si>
    <t>GESTIÓN DE ADQUISICIONES Y SUMINISTROS (GA)</t>
  </si>
  <si>
    <t>GESTIÓN DE INFORMÁTICA (GI)</t>
  </si>
  <si>
    <t>GESTIÓN HUMANA (GH)</t>
  </si>
  <si>
    <t>BIENESTAR UNIVERSITARIO (BU)</t>
  </si>
  <si>
    <t>GESTIÓN DE SERVICIOS GENERALES (GS)</t>
  </si>
  <si>
    <t>DOCENCIA (DOC)</t>
  </si>
  <si>
    <t>INVESTIGACIÓN (INV)</t>
  </si>
  <si>
    <t>PROYECCIÓN SOCIAL (PS)</t>
  </si>
  <si>
    <t>INTERNACIONALIZACIÓN (INT)</t>
  </si>
  <si>
    <t>De cumplimiento</t>
  </si>
  <si>
    <t xml:space="preserve">Reputacional y tecnologico </t>
  </si>
  <si>
    <t>Actividades del  Plan de Implementación de Cambios finalizadas dentro de los tiempos establecidos/ Numero total de actividades plan de Implementación de Cambios * 100%</t>
  </si>
  <si>
    <t>No de Acciones implementadas eficazmente en la Gestión del Riesgo / Total  de Acciones formuladas en la Gestión del Riesgo * 100%</t>
  </si>
  <si>
    <t>TIPO</t>
  </si>
  <si>
    <t>% CUMPLIMIENTO</t>
  </si>
  <si>
    <t xml:space="preserve">Tecnológico </t>
  </si>
  <si>
    <t>DOC- salud</t>
  </si>
  <si>
    <t>DOC- Ing</t>
  </si>
  <si>
    <t>DOC- Facciencias</t>
  </si>
  <si>
    <t>No. DE CAMBIOS</t>
  </si>
  <si>
    <t>DESCRIPCIÓN</t>
  </si>
  <si>
    <t>TIPO DE CAMBIO</t>
  </si>
  <si>
    <t xml:space="preserve"> Numero total de actividades plan de Implementación de Cambios * 100%</t>
  </si>
  <si>
    <t>% cumplimiento</t>
  </si>
  <si>
    <t>Procesos y/o Métodos de Trabajo</t>
  </si>
  <si>
    <t>Tecnológico</t>
  </si>
  <si>
    <t>Procesos y/o Métodos de Trabajo.</t>
  </si>
  <si>
    <t>Normativo</t>
  </si>
  <si>
    <t>Infraestructura, instalaciones y equipos</t>
  </si>
  <si>
    <t>CUADRO COMPARATIVO - OPORTUNIDADES DE MEJORA RIESGOS</t>
  </si>
  <si>
    <r>
      <t>78,00%</t>
    </r>
    <r>
      <rPr>
        <b/>
        <sz val="10"/>
        <rFont val="Arial"/>
        <family val="2"/>
      </rPr>
      <t> </t>
    </r>
  </si>
  <si>
    <t>GESTIÓN DEL CAMBIO</t>
  </si>
  <si>
    <t>2742 calif. SS</t>
  </si>
  <si>
    <t>Procesos y métodos de trabajo</t>
  </si>
  <si>
    <r>
      <t xml:space="preserve">2859 </t>
    </r>
    <r>
      <rPr>
        <sz val="12"/>
        <rFont val="Arial"/>
        <family val="2"/>
      </rPr>
      <t>ENCUESTAS APLICADAS</t>
    </r>
  </si>
  <si>
    <t>TOTAL MUESTRA</t>
  </si>
  <si>
    <t xml:space="preserve">Estudiantes:  1.975, Docentes: 311, Administrativos: 151 y Egresados:373
</t>
  </si>
  <si>
    <t>GESTIÓN HUMANA - SG SST</t>
  </si>
  <si>
    <t>Estudiantes:  1.975, Docentes: 311, Administrativos: 151 y Egresados:373</t>
  </si>
  <si>
    <t>Estudiantes:  1.975, Docentes: 311</t>
  </si>
  <si>
    <t>Egresados:373 y sector externo: 9</t>
  </si>
  <si>
    <t xml:space="preserve">Estudiantes:  1.975, Docentes: 311 y Egresados: 373  </t>
  </si>
  <si>
    <t>Estudiantes:  1.975, Docentes: 311, Administrativos: 151 y Egresados:373)</t>
  </si>
  <si>
    <t>Estudiantes:  1.975, Docentes: 311, y Egresados:373</t>
  </si>
  <si>
    <t>Egresados: 373, Sector externo: 9, Estudiante: 1975, Docentes: 311,  Administrativos: 151, Directivos académicos: 24 y Directivos administrativos: 16</t>
  </si>
  <si>
    <t>ADMITIVOS</t>
  </si>
  <si>
    <t>ESTUD</t>
  </si>
  <si>
    <t>Directivos académicos</t>
  </si>
  <si>
    <t>Directivos Administrativos</t>
  </si>
  <si>
    <t>Indicadores N/D</t>
  </si>
  <si>
    <t>DOCENCIA (Facultad Derecho Ccias políticas y sociales)</t>
  </si>
  <si>
    <t>Gestión de la vinculación con el perfil de formación</t>
  </si>
  <si>
    <t>Número de personas vinculadas con el perfil en Formación/ Total vinculaciones</t>
  </si>
  <si>
    <t>Número de personas vinculadas que cumplieron con el perfil/ Total vinculaciones</t>
  </si>
  <si>
    <t>Gestión de la vinculación con el perfil pero con observaciones</t>
  </si>
  <si>
    <t>Número de personas vinculadas que cumplieron con el perfil pero con observaciones/ Total vinculaciones</t>
  </si>
  <si>
    <t>Número total de correspondencia entregada dentro del tiempo establecido/ No. Total de correspondencia recibida</t>
  </si>
  <si>
    <t>Clases Presenciales y/o Virtuales Realizadas en Pregrado / Clases Presenciales y/o Virtuales  programadas. Facultad Ccias Económicas, admitivas y contables</t>
  </si>
  <si>
    <t>Clases Presenciales y/o Virtuales Realizadas en Pregrado / Clases Presenciales y/o Virtuales  programadas . Facultad  Derecho Ccias Políticas y sociales</t>
  </si>
  <si>
    <t>Clases Presenciales y/o Virtuales Realizadas en Pregrado / Clases Presenciales y/o Virtuales  programadas . Facultad de Ingenierías</t>
  </si>
  <si>
    <t>Técnológico</t>
  </si>
  <si>
    <t>2024 calif. SS</t>
  </si>
  <si>
    <t>2020-1</t>
  </si>
  <si>
    <t>2020-2</t>
  </si>
  <si>
    <t>DOCENCIA - Facultad de Ingenierias</t>
  </si>
  <si>
    <t>DOCENCIA - Facultad Derecho  Ccias políticas y sociales y Secretaría académica</t>
  </si>
  <si>
    <t>PS - Centro de Conciliación del Consultorio Jurídico</t>
  </si>
  <si>
    <t>PROYECCIÓN
 SOCIAL</t>
  </si>
  <si>
    <t>Solicitudes o peticiones</t>
  </si>
  <si>
    <t>Solicitudes o Peticiones</t>
  </si>
  <si>
    <t>PQRS</t>
  </si>
  <si>
    <t xml:space="preserve">Total </t>
  </si>
  <si>
    <t>Actividades del plan de formación realizadas anualmente/ total actividades programadas</t>
  </si>
  <si>
    <t>2020 - I</t>
  </si>
  <si>
    <t>2020 - II</t>
  </si>
  <si>
    <t xml:space="preserve">Elaboración y entrega oportuna de las certificaciones y constancias académicas (Acuerdo) </t>
  </si>
  <si>
    <t>1223 calif. SS</t>
  </si>
  <si>
    <t>4766 calif. SS</t>
  </si>
  <si>
    <t>DOCENCIA (Facultad Ciencias de la salud)</t>
  </si>
  <si>
    <t xml:space="preserve">
</t>
  </si>
  <si>
    <t xml:space="preserve">1. Tesorería: Devolución dinero de matrícula
2. Tesorería: Devoluación dinero de matrícula
3. REEMBOLSO DE LA MATRICULA AL ICETEX 
4. Beca crédito Derecho
5. Crédito y cartera 
6. Devolución de dinero de matrícula
7. Información sobre Beca obtenida para el periodo 2020-1
8. Pago de supletorio con urgencia
9. Petición devolución matrícula
10. Petición devolución matrícula
11. Solicitud de representante de bancolombia de la Unilibre
</t>
  </si>
  <si>
    <t xml:space="preserve">Servicio de mantenimiento (Acuerdo) </t>
  </si>
  <si>
    <t xml:space="preserve">Servicio de mantenimiento (Acuerdo)  </t>
  </si>
  <si>
    <t>FACCIENCIAS</t>
  </si>
  <si>
    <t>INGENIERIAS</t>
  </si>
  <si>
    <t>DERECHO CPS</t>
  </si>
  <si>
    <t>CCIAS DE LA SALUD</t>
  </si>
  <si>
    <t>FACULTAD</t>
  </si>
  <si>
    <t>docentes con maestria y doctorado</t>
  </si>
  <si>
    <t>Total docentes de la facultad</t>
  </si>
  <si>
    <t xml:space="preserve">Cumplimiento de clases presenciales y/o virtuales programadas en Pregrado Seccional Pereira
</t>
  </si>
  <si>
    <t>Cambio en los servicios</t>
  </si>
  <si>
    <t>UNIVERSIDAD LIBRE SECCIONAL PEREIRA
CONSOLIDADO RIESGOS Y OPORTUNIDADES  2021</t>
  </si>
  <si>
    <t>riesgo ID 371</t>
  </si>
  <si>
    <t>riesgo ID 372</t>
  </si>
  <si>
    <t>riesgo ID 373</t>
  </si>
  <si>
    <t xml:space="preserve">riesgo 163 </t>
  </si>
  <si>
    <t>Estratégico</t>
  </si>
  <si>
    <t>riesgo ID 346</t>
  </si>
  <si>
    <t xml:space="preserve">Financiero </t>
  </si>
  <si>
    <t>riesgo ID 362</t>
  </si>
  <si>
    <t>riesgo ID 363</t>
  </si>
  <si>
    <t xml:space="preserve">Operativo </t>
  </si>
  <si>
    <t>Riesgo ID 364</t>
  </si>
  <si>
    <t>riesgo ID 365</t>
  </si>
  <si>
    <t>Tecnologico</t>
  </si>
  <si>
    <t>riesgo ID 366</t>
  </si>
  <si>
    <t xml:space="preserve">Normativo </t>
  </si>
  <si>
    <t>riesgo ID 369</t>
  </si>
  <si>
    <t>DOC- Derecho CPS</t>
  </si>
  <si>
    <t>riesgo ID 370</t>
  </si>
  <si>
    <t>riesgo ID 376</t>
  </si>
  <si>
    <t>riesgo ID 375</t>
  </si>
  <si>
    <t>riesgo ID 377</t>
  </si>
  <si>
    <t>riesgo ID 379</t>
  </si>
  <si>
    <t>riesgo ID 380</t>
  </si>
  <si>
    <t xml:space="preserve">Estrategico </t>
  </si>
  <si>
    <t>riesgo ID 381</t>
  </si>
  <si>
    <t>riesgo ID 382</t>
  </si>
  <si>
    <t>riesgo ID 383</t>
  </si>
  <si>
    <t>Riesgo ID 384</t>
  </si>
  <si>
    <t>riesgo ID 385</t>
  </si>
  <si>
    <t>riesgo ID 211</t>
  </si>
  <si>
    <t>Bogotá, Socorro y Cúcuta</t>
  </si>
  <si>
    <t>Septiembre de 2020</t>
  </si>
  <si>
    <t>Auditoria de recertificación</t>
  </si>
  <si>
    <t>Aud recertif</t>
  </si>
  <si>
    <t>kawak</t>
  </si>
  <si>
    <t>1765 calif. SS</t>
  </si>
  <si>
    <t>680 calif. SS</t>
  </si>
  <si>
    <t xml:space="preserve"> 1085 calif. SS</t>
  </si>
  <si>
    <t>Seguimiento ______ 2021</t>
  </si>
  <si>
    <t>Id 481. Nivel de uso de recursos bibliográficos físicos(externo y sala) Seccional Pereira</t>
  </si>
  <si>
    <t>484 - Nivel de consulta de recursos virtuales de las bases de datos de la Seccional Pereira</t>
  </si>
  <si>
    <t>Número de interacciones virtuales en las Bases de Datos/ total comunidad unilibrista</t>
  </si>
  <si>
    <t>Total de prestamos bibliográficos (externo y en sala/ Total comunidad unilibrista</t>
  </si>
  <si>
    <t>Id 509. Porcentaje de Beneficiados con Recursos (Económicos, Tecnológicos, otros) Seccional Pereira</t>
  </si>
  <si>
    <t>Id 517. Participación de Egresados en Actividades Institucionales y/o Académicas. Sede Pereira</t>
  </si>
  <si>
    <t>Total Egresados que Participan en Actividades Institucionales y/o Académicas/ Total egresados</t>
  </si>
  <si>
    <t>Id 523. Número de Graduados Vinculados en el Mercado Laboral (Mediante la Bolsa de Empleo). Sede Pereira</t>
  </si>
  <si>
    <t xml:space="preserve">Total de Graduados Vinculados Laboralmente Mediante la Bolsa de Empleo/ Total de Graduados Inscritos en la Bolsa de Empleo </t>
  </si>
  <si>
    <t>Id 529. Actualización de Bases de Datos de Egresados. Sede Pereira</t>
  </si>
  <si>
    <t>Total de Egresados que Tienen Actualizada su Información en el Sistema de Egresados/ Total egresados</t>
  </si>
  <si>
    <t>Riesgo Nal ID405</t>
  </si>
  <si>
    <t>Id 423. Ausentismo por causa médica</t>
  </si>
  <si>
    <t>Número días de ausencia por incapacidad laboral o común en el mes/ Número de días de trabajo programados en el mes</t>
  </si>
  <si>
    <t>Id 419. Frecuencia de accidentalidad</t>
  </si>
  <si>
    <t>Id 420. Severidad de accidentalidad</t>
  </si>
  <si>
    <t>Id 421. Proporción de accidentes de trabajo mortales</t>
  </si>
  <si>
    <t>Id 473. Incidencia de la enfermedad laboral</t>
  </si>
  <si>
    <t>Número de accidentes de trabajo que se presentaron en el mes/ No. De trabajadores en el mes</t>
  </si>
  <si>
    <t xml:space="preserve">((Número de días de incapacidad por accidente de trabajo en el mes (NDIAT)* número de días cargados en el mes (NDCM))/Número de trabajadores en el mes (NTM)*100)
((DIATM.SST+NDC)/NTM.SST)*100
</t>
  </si>
  <si>
    <t>Número de accidentes de trabajo mortales que se presentaron en el año/  otal de accidentes de trabajo que se presentaron en el año</t>
  </si>
  <si>
    <t>Número de casos nuevos de enfermedad laboral en el periodo “Z”/ Promedio de trabajadores en el periodo “Z”</t>
  </si>
  <si>
    <t>Número total de participantes en talleres de promoción socio-económica / Número total de población de la comunidad Unilibrista</t>
  </si>
  <si>
    <t>Número total de beneficiados con recursos (Económicos, Tecnológicos, otros) /Total de la comunidad Unilibrista</t>
  </si>
  <si>
    <t>Id 550. Nivel de eficiencia del Centro de Conciliación. Seccional Pereira</t>
  </si>
  <si>
    <t>Sumatoria de casos atendidos que llegaron a un acuerdos efectivo / Número total de casos atendidos por el Centro de Conciliación
(CJ.CAAE,PE/CJ.TCA.PE)*100</t>
  </si>
  <si>
    <t>Id 587. Nivel de la Demanda de Centro de Conciliación. Seccional Pereira</t>
  </si>
  <si>
    <t>Número total de casos atendidos por el Centro de Conciliación / Numero de casos y servicios presupuestados o esperados para atender por el centro de conciliación
(PS.TCA.PE/PS.CP.PE)*100</t>
  </si>
  <si>
    <t>Id 591. Nivel de Atención oportuna de PQRs realizadas al Centro de Conciliación. Seccional Pereira</t>
  </si>
  <si>
    <t xml:space="preserve">Numero de PQR respondidos en los tiempos establecidos / Número total de PQRS recibidas </t>
  </si>
  <si>
    <t>Id 593. Jornadas de Atención Integral a las Comunidades. Seccional Pereira</t>
  </si>
  <si>
    <t>Id 592. Nivel de Satisfacción con los servicios prestados por el Centro de Conciliación. Seccional Pereira</t>
  </si>
  <si>
    <t>Sumatoria de casos atendidos con nivel de atención Excelente y Buena /Número total de casos atendidos</t>
  </si>
  <si>
    <t>Numero de Jornadas de Atención Integral Desarrolladas en las comunas barrios, municipios etc/  Numero de Jornadas de Atención Integral Desarrolladas en las comunas barrios, municipios etc</t>
  </si>
  <si>
    <t>Id 422. Prevalencia de la enfermedad laboral.</t>
  </si>
  <si>
    <t>Número de casos nuevos y antiguos de enfermedad laboral en el periodo «Z»/ Promedio de trabajadores en el periodo «Z»</t>
  </si>
  <si>
    <r>
      <rPr>
        <b/>
        <sz val="12"/>
        <rFont val="Arial"/>
        <family val="2"/>
      </rPr>
      <t>ID 352</t>
    </r>
    <r>
      <rPr>
        <sz val="12"/>
        <rFont val="Arial"/>
        <family val="2"/>
      </rPr>
      <t xml:space="preserve"> Atención a solicitudes de  mantenimiento correctivo y preventivo de recursos informáticos "C"</t>
    </r>
  </si>
  <si>
    <t>ID 353 Atención a requerimientos audiovisuales (Acuerdo)   "2"</t>
  </si>
  <si>
    <t>ID 354 Verificación del correcto funcionamiento de los equipos de cómputo al servicio de docentes y estudiantes (acuerdo)   "2"</t>
  </si>
  <si>
    <t>ID 308 Asignación de disponibilidad presupuestal (Acuerdo)  "2"  y "3"</t>
  </si>
  <si>
    <r>
      <t>ID 302 Precisión en la elaboración del Presupuesto de</t>
    </r>
    <r>
      <rPr>
        <b/>
        <sz val="11"/>
        <color indexed="10"/>
        <rFont val="Arial"/>
        <family val="2"/>
      </rPr>
      <t xml:space="preserve"> gastos </t>
    </r>
  </si>
  <si>
    <r>
      <t xml:space="preserve">ID 301 Precisión en la elaboración del Presupuesto de </t>
    </r>
    <r>
      <rPr>
        <b/>
        <sz val="10"/>
        <color indexed="10"/>
        <rFont val="Arial"/>
        <family val="2"/>
      </rPr>
      <t>inversión</t>
    </r>
  </si>
  <si>
    <r>
      <t xml:space="preserve">ID 303 Precisión en la elaboración del Presupuesto de </t>
    </r>
    <r>
      <rPr>
        <b/>
        <sz val="10"/>
        <color indexed="10"/>
        <rFont val="Arial"/>
        <family val="2"/>
      </rPr>
      <t xml:space="preserve">ingresos </t>
    </r>
  </si>
  <si>
    <t>2021-1</t>
  </si>
  <si>
    <t>2021-2</t>
  </si>
  <si>
    <t>DOCENCIA - Posgrados y Promoción y Mk</t>
  </si>
  <si>
    <t>Investtigación</t>
  </si>
  <si>
    <t>DOC- Escuela de formación docente</t>
  </si>
  <si>
    <t>1.500 calif. SS</t>
  </si>
  <si>
    <t>798 calif. SS</t>
  </si>
  <si>
    <t>AUDITORIAS INTERNAS   DE CALIDAD (Del 28  de junio al 9 de julio  de 2021)</t>
  </si>
  <si>
    <t>GESTIÓN DE SERVICIOS GENERALES -  GESTIÓN AMBIENTAL</t>
  </si>
  <si>
    <t>Del 5 al 9 de agosto de 2021</t>
  </si>
  <si>
    <t>Bogotá, Barranquilla y Cartagena</t>
  </si>
  <si>
    <t>2021 - I</t>
  </si>
  <si>
    <t>2021 - II</t>
  </si>
  <si>
    <t>riesgo ID73</t>
  </si>
  <si>
    <t>riesgo ID78</t>
  </si>
  <si>
    <t>riesgo 427</t>
  </si>
  <si>
    <r>
      <rPr>
        <b/>
        <sz val="8"/>
        <rFont val="Calibri"/>
        <family val="2"/>
        <scheme val="minor"/>
      </rPr>
      <t>Cerrada</t>
    </r>
    <r>
      <rPr>
        <sz val="8"/>
        <rFont val="Calibri"/>
        <family val="2"/>
        <scheme val="minor"/>
      </rPr>
      <t>:  Se inició el proceso a partir de enero de 2021, el cual es permanente, se ha enviado correos a todos los proveedores adjuntando el paso a paso para el registro nacional de proveedores, se aclara que si ya hicieron la inscripción solo deben enviar la actualización de los siguietes documentos:  RUT del año vigente, certificación bancaria y cámara de comercio.</t>
    </r>
  </si>
  <si>
    <r>
      <rPr>
        <b/>
        <sz val="8"/>
        <rFont val="Calibri"/>
        <family val="2"/>
        <scheme val="minor"/>
      </rPr>
      <t xml:space="preserve">Cerrado:  </t>
    </r>
    <r>
      <rPr>
        <sz val="8"/>
        <rFont val="Calibri"/>
        <family val="2"/>
        <scheme val="minor"/>
      </rPr>
      <t>En consenso nacional, se asignó como responsable del monitoreo del Ezproxi a la Directora de la Biblioteca de la Seccional Pereira</t>
    </r>
  </si>
  <si>
    <r>
      <rPr>
        <b/>
        <sz val="8"/>
        <rFont val="Calibri"/>
        <family val="2"/>
        <scheme val="minor"/>
      </rPr>
      <t xml:space="preserve">Cerrada y permanente: </t>
    </r>
    <r>
      <rPr>
        <sz val="8"/>
        <rFont val="Calibri"/>
        <family val="2"/>
        <scheme val="minor"/>
      </rPr>
      <t xml:space="preserve"> Se hace control previo a las facturas que incluyen  servicios o bienes grabados , actuando asi preventivamente</t>
    </r>
  </si>
  <si>
    <r>
      <rPr>
        <b/>
        <sz val="8"/>
        <rFont val="Calibri"/>
        <family val="2"/>
        <scheme val="minor"/>
      </rPr>
      <t xml:space="preserve">Cerrada y permanente:  </t>
    </r>
    <r>
      <rPr>
        <sz val="8"/>
        <rFont val="Calibri"/>
        <family val="2"/>
        <scheme val="minor"/>
      </rPr>
      <t xml:space="preserve"> Se hizo  control y seguimiento a la realización de todas las las´pruebas logrando que la  actualización funcionara de manera correcta, actividad que se realiza cada que la sede principal informa de las actualizaciones</t>
    </r>
  </si>
  <si>
    <t>UNIVERSIDAD LIBRE SECCIONAL PEREIRA
CONSOLIDADO DE GESTIÓN DEL CAMBIO   2022</t>
  </si>
  <si>
    <t>Id 141.Confiabilidad en la información de los certificados (AS)  "2"</t>
  </si>
  <si>
    <t>Id 142. Elaboración y entrega oportuna de las certificaciones y constancias académicas (Acuerdo) "2"</t>
  </si>
  <si>
    <t>Id 143. Oportunidad en la entrega de notas</t>
  </si>
  <si>
    <t>Id 156.  Días promedio para el Trámite de solicitudes  Compras por rango (Acuerdo)  "2"</t>
  </si>
  <si>
    <t>Id 101. Ejecución Plan Anual de Trabajo de Bienestar Universitario Seccional Pereira</t>
  </si>
  <si>
    <t>Id 274. Proporción de volúmenes por alumno (AS)   "2"y 3"</t>
  </si>
  <si>
    <t>Id 271. Pérdida del material bibliográfico
"3"</t>
  </si>
  <si>
    <t>Id 272. Oportunidad en la inducción</t>
  </si>
  <si>
    <t>Id 103. Participación en acciones deportivas y recreativas Seccional Pereira</t>
  </si>
  <si>
    <t>Id 106. Participación en programas de Salud Seccional Pereira</t>
  </si>
  <si>
    <t>Id 107. Participación en programas Desarrollo Humano Seccional Pereira</t>
  </si>
  <si>
    <t>Id 108.  Atención médica y/o primaria en Enfermería (Acuerdo)  "2"</t>
  </si>
  <si>
    <t>Id 109. Atención Servicio de Psicología (Acuerdo) Seccional Pereira</t>
  </si>
  <si>
    <t>Id 104. Participación en acciones culturales Seccional Pereira</t>
  </si>
  <si>
    <t xml:space="preserve">Id 502. Participación en acciones de promoción socio-económica de la Seccional Pereira </t>
  </si>
  <si>
    <t>Id 102. Ejecución presupuestal de Bienestar Universitario Seccional Pereira</t>
  </si>
  <si>
    <t>Id 630. Participación de Egresados en Actividades de Bienestar. Seccional Pereira</t>
  </si>
  <si>
    <t>Total de Egresados que Participan en Actividades de Bienestar Universitario/ Total de Egresados</t>
  </si>
  <si>
    <t>GRUPO FOCAL</t>
  </si>
  <si>
    <t>TAMAÑO MUESTRA SECCIONAL PEREIRA</t>
  </si>
  <si>
    <t>APLICACIÓN ENCUESTAS</t>
  </si>
  <si>
    <t>AL 29 DE NOVIEMBRE</t>
  </si>
  <si>
    <t>PENDIENTES</t>
  </si>
  <si>
    <t>Estudiantes de Pregrado</t>
  </si>
  <si>
    <t>Estudiantes de Posgrado</t>
  </si>
  <si>
    <t>Docentes Pregrado</t>
  </si>
  <si>
    <t>Docentes Posgrado</t>
  </si>
  <si>
    <t>Administrativos</t>
  </si>
  <si>
    <t>TOTAL SECCIONAL</t>
  </si>
  <si>
    <r>
      <t xml:space="preserve">Facultad a la que pertenece - Pereira 
</t>
    </r>
    <r>
      <rPr>
        <b/>
        <sz val="14"/>
        <color rgb="FFFF0000"/>
        <rFont val="Segoe UI"/>
        <family val="2"/>
      </rPr>
      <t>Estudiantes Pregrado</t>
    </r>
  </si>
  <si>
    <r>
      <t xml:space="preserve">Facultad a la que pertenece - Pereira </t>
    </r>
    <r>
      <rPr>
        <b/>
        <sz val="14"/>
        <color rgb="FFFF0000"/>
        <rFont val="Segoe UI"/>
        <family val="2"/>
      </rPr>
      <t>Estudiantes de Posgrado</t>
    </r>
  </si>
  <si>
    <r>
      <t xml:space="preserve">Facultad a la que pertenece - Pereira 
</t>
    </r>
    <r>
      <rPr>
        <b/>
        <sz val="14"/>
        <color rgb="FFFF0000"/>
        <rFont val="Segoe UI"/>
        <family val="2"/>
      </rPr>
      <t>Docentes Pregrado</t>
    </r>
  </si>
  <si>
    <r>
      <t xml:space="preserve">Facultad a la que pertenece - Pereira - 
</t>
    </r>
    <r>
      <rPr>
        <b/>
        <sz val="14"/>
        <color rgb="FFFF0000"/>
        <rFont val="Segoe UI"/>
        <family val="2"/>
      </rPr>
      <t>Docentes de Posgrado</t>
    </r>
  </si>
  <si>
    <t>Ciencias de la Salud</t>
  </si>
  <si>
    <t>Ciencias Económicas, Administrativas y Contables</t>
  </si>
  <si>
    <t>Derecho, Ciencias Políticas y Sociales</t>
  </si>
  <si>
    <t>Ingeniería</t>
  </si>
  <si>
    <r>
      <t xml:space="preserve">Programa al que pertenece - Pereira 
</t>
    </r>
    <r>
      <rPr>
        <b/>
        <sz val="14"/>
        <color rgb="FFFF0000"/>
        <rFont val="Segoe UI"/>
        <family val="2"/>
      </rPr>
      <t>Estudiantes Pregrado</t>
    </r>
  </si>
  <si>
    <r>
      <t xml:space="preserve">Programa al que pertenece - Pereira  
</t>
    </r>
    <r>
      <rPr>
        <b/>
        <sz val="14"/>
        <color rgb="FFFF0000"/>
        <rFont val="Segoe UI"/>
        <family val="2"/>
      </rPr>
      <t>Estudianes de Posgrado</t>
    </r>
  </si>
  <si>
    <r>
      <t xml:space="preserve">rograma al que pertenece - Pereira 
</t>
    </r>
    <r>
      <rPr>
        <b/>
        <sz val="14"/>
        <color rgb="FFFF0000"/>
        <rFont val="Segoe UI"/>
        <family val="2"/>
      </rPr>
      <t>Docentes Pregrado</t>
    </r>
  </si>
  <si>
    <r>
      <t xml:space="preserve">Programa al que pertenece - Pereira 
</t>
    </r>
    <r>
      <rPr>
        <b/>
        <sz val="16"/>
        <color rgb="FFFF0000"/>
        <rFont val="Segoe UI"/>
        <family val="2"/>
      </rPr>
      <t>Docentes de Posgrado</t>
    </r>
  </si>
  <si>
    <t>Administración de Empresas</t>
  </si>
  <si>
    <t>Esp. en Administración Financiera</t>
  </si>
  <si>
    <t>Contaduría Pública</t>
  </si>
  <si>
    <t>Esp. en Alta Gerencia</t>
  </si>
  <si>
    <t>Derecho</t>
  </si>
  <si>
    <t>Esp. en Contabilidad Financiera Internacional (NIC - NIIF)</t>
  </si>
  <si>
    <t>Economía</t>
  </si>
  <si>
    <t>Esp. en Derecho Administrativo</t>
  </si>
  <si>
    <t>Enfermería</t>
  </si>
  <si>
    <t>Esp. en Derecho Constitucional</t>
  </si>
  <si>
    <t>Ingeniería Civil</t>
  </si>
  <si>
    <t>Esp. en Derecho de Daños y Responsabilidad Pública y Privada</t>
  </si>
  <si>
    <t>Ingeniería Comercial</t>
  </si>
  <si>
    <t>Esp. en Derecho del Trabajo, Pensiones y Riesgos Laborales</t>
  </si>
  <si>
    <t>Ingeniería de Sistemas</t>
  </si>
  <si>
    <t>Esp. en Derecho Penal</t>
  </si>
  <si>
    <t>Ingeniería Financiera</t>
  </si>
  <si>
    <t>Esp. en Derecho Procesal, Probatorio y Oralidad</t>
  </si>
  <si>
    <t>Microbiología</t>
  </si>
  <si>
    <t>Esp. en Derecho Urbano, Gestión y Planeamientos Inmobiliarios</t>
  </si>
  <si>
    <t>Nutrición y Dietética</t>
  </si>
  <si>
    <t>Esp. en Gerencia Logística</t>
  </si>
  <si>
    <t>Trabajo Social</t>
  </si>
  <si>
    <t>Esp. en Gerencia Social</t>
  </si>
  <si>
    <t>Esp. en Gestión Tributaria y Aduanera</t>
  </si>
  <si>
    <t>Esp. en Movilidad y Transporte</t>
  </si>
  <si>
    <t>Esp. en Planeación y Gestión Estratégica</t>
  </si>
  <si>
    <t>Esp. en Responsabilidad Médica</t>
  </si>
  <si>
    <t>Esp. en Seguridad y Salud en Trabajo, Gerencia y Control de Riesgos</t>
  </si>
  <si>
    <t>Maestría en Administración de Empresas</t>
  </si>
  <si>
    <t>Maestría en Derecho Administrativo</t>
  </si>
  <si>
    <t>Maestría en Derecho Constitucional</t>
  </si>
  <si>
    <t>Maestría en Derecho Penal</t>
  </si>
  <si>
    <t>Maestría en Gestión de la Seguridad y Salud en el Trabajo</t>
  </si>
  <si>
    <t>Maestría en Mercadeo</t>
  </si>
  <si>
    <t>APLICACIÓN DE ENCUESTAS 2021 - SECCIONAL PEREIRA</t>
  </si>
  <si>
    <r>
      <t xml:space="preserve">649  </t>
    </r>
    <r>
      <rPr>
        <sz val="12"/>
        <rFont val="Arial"/>
        <family val="2"/>
      </rPr>
      <t>ENCUESTAS APLICADAS</t>
    </r>
  </si>
  <si>
    <t>AÑO</t>
  </si>
  <si>
    <t>2019 - 2020</t>
  </si>
  <si>
    <t>% MITIGACIÓN</t>
  </si>
  <si>
    <t>TOTAL RIESGOS</t>
  </si>
  <si>
    <t>ASEGURAMIENTO DE LA CALIDAD ACADÉMICA</t>
  </si>
  <si>
    <t>Riesgo ID 468</t>
  </si>
  <si>
    <t xml:space="preserve">Estratégico </t>
  </si>
  <si>
    <t>Riesgo:  Que no se obtenga el posicionamiento esperado por los emprendedores
Acciones para mitigar o reducir el Riesgo Seguimiento y control al proyecto UNIMARKET para validar posicionamiento y eficacia.</t>
  </si>
  <si>
    <t>riesgo ID 469</t>
  </si>
  <si>
    <t>riesgo 476</t>
  </si>
  <si>
    <t>Tecnología</t>
  </si>
  <si>
    <t xml:space="preserve">Riesgo: Que el estudiante no obtenga oportunamente la certificación de la acreditación en inglés B1 para su grado
Tratamiento: Seguimiento y control del proceso de inglés </t>
  </si>
  <si>
    <t>riesgo ID 464</t>
  </si>
  <si>
    <t>riesgo ID 466
Dirección PS</t>
  </si>
  <si>
    <t>Riesgo: Que no se dé efectividad en la interacción entre investigaciones, proyección social y biblioteca.
Oportunidad de mejora:  Lograr la participación entre investigaciones, proyección social y biblioteca.</t>
  </si>
  <si>
    <t>riesgo ID472</t>
  </si>
  <si>
    <t>riesgo ID 475</t>
  </si>
  <si>
    <t>GESTION DE INFORMÁTICA</t>
  </si>
  <si>
    <t>riesgo ID 467</t>
  </si>
  <si>
    <t>Riesgo:  Incorrecta parametrización del módulo de evaluación de desempeño (Que el cargo no esté incluido en la parametrización, lo que genera que el usaurio no pueda hacer la evaluacón de desempeño  )
Tratamiento:  Vericar que todos los cargos a evaluar estén parametrizados correctamente en el módulo de evaluación del desempeño</t>
  </si>
  <si>
    <t>riesgo ID 470</t>
  </si>
  <si>
    <t>% CUMP</t>
  </si>
  <si>
    <r>
      <rPr>
        <b/>
        <sz val="8"/>
        <rFont val="Calibri"/>
        <family val="2"/>
        <scheme val="minor"/>
      </rPr>
      <t>Cerrada y permanente</t>
    </r>
    <r>
      <rPr>
        <sz val="8"/>
        <rFont val="Calibri"/>
        <family val="2"/>
        <scheme val="minor"/>
      </rPr>
      <t xml:space="preserve">: </t>
    </r>
    <r>
      <rPr>
        <sz val="7"/>
        <rFont val="Calibri"/>
        <family val="2"/>
        <scheme val="minor"/>
      </rPr>
      <t>Se tiene implementado el sistema de información de calidad (kawak) en todos sus módulos (auditorias e inspecciones, riesgos y oportunidades, indicadores, mejoramiento continuo, gestión de cambio, comités institucionales, servicio al cliente)  se tiene implementado el registro y segumiento a las prácticas empresariales, el proceso de entrevista para pregrado, con el fin de generar alertas de seguimientos y controles al cierre eficaz de acciones</t>
    </r>
  </si>
  <si>
    <r>
      <rPr>
        <b/>
        <sz val="8"/>
        <color rgb="FFFF0000"/>
        <rFont val="Calibri"/>
        <family val="2"/>
        <scheme val="minor"/>
      </rPr>
      <t>En proceso</t>
    </r>
    <r>
      <rPr>
        <sz val="8"/>
        <rFont val="Calibri"/>
        <family val="2"/>
        <scheme val="minor"/>
      </rPr>
      <t>:  Se prevé la implementación en el período 2022-2, actualmente se están solicitando los usuarios y contraseñas a la administradora del aplicativo SEVEN.  Actualmente se está utilizando el formato físico con el fin de no atrasar el proceso</t>
    </r>
  </si>
  <si>
    <r>
      <rPr>
        <b/>
        <sz val="8"/>
        <rFont val="Calibri"/>
        <family val="2"/>
        <scheme val="minor"/>
      </rPr>
      <t>Cerrada y permanente</t>
    </r>
    <r>
      <rPr>
        <sz val="8"/>
        <rFont val="Calibri"/>
        <family val="2"/>
        <scheme val="minor"/>
      </rPr>
      <t>:  En mayo de 2021se llevó a cabo la ceremonia de reconocimiento de manera virtual como inicio del nuevo programa para  pensionados de la Seccional en la Ruta de mi vida, se homenajearon a 15 docentes y admirativos.  A los cuales se les hizo entrega de una resolución firmada por la Presidencia y  Rectoría Seccional.  
Dentro del programa las coordinaciones elaboraron las actividades correspondientes ofrecidas a la población, donde se realizó convocatoria  por medio electrónico y telefónico.  No hubo respuesta</t>
    </r>
  </si>
  <si>
    <r>
      <rPr>
        <b/>
        <sz val="8"/>
        <rFont val="Calibri"/>
        <family val="2"/>
        <scheme val="minor"/>
      </rPr>
      <t>Cerrado y permanente</t>
    </r>
    <r>
      <rPr>
        <sz val="8"/>
        <rFont val="Calibri"/>
        <family val="2"/>
        <scheme val="minor"/>
      </rPr>
      <t>:  Se implementó el sistema de adviser de actualización de egresados del orden nacional: Se actualizaron por este medio 229 egresados y por el sistema normal de la oficina de egresados fueron 13.792 (incluye adviser)</t>
    </r>
  </si>
  <si>
    <r>
      <rPr>
        <b/>
        <sz val="8"/>
        <color rgb="FFFF0000"/>
        <rFont val="Calibri"/>
        <family val="2"/>
        <scheme val="minor"/>
      </rPr>
      <t xml:space="preserve">En proceso: </t>
    </r>
    <r>
      <rPr>
        <sz val="8"/>
        <rFont val="Calibri"/>
        <family val="2"/>
        <scheme val="minor"/>
      </rPr>
      <t xml:space="preserve"> Se tiene proyectada para la próxima vigencia, 2022, continuar con la implementación de la norma en cuanto a infraestructura y solicitar la visita de preauditoria para realizar las acciones de mejora a que haya lugar y solicitar finalmente la visita de los auditores de calidad a que haya lugar</t>
    </r>
  </si>
  <si>
    <r>
      <rPr>
        <b/>
        <sz val="8"/>
        <rFont val="Calibri"/>
        <family val="2"/>
        <scheme val="minor"/>
      </rPr>
      <t>Cerrada y permanente</t>
    </r>
    <r>
      <rPr>
        <sz val="8"/>
        <rFont val="Calibri"/>
        <family val="2"/>
        <scheme val="minor"/>
      </rPr>
      <t xml:space="preserve">: Durante la vigencia se implementaron 10 aulas con un total de 13 profesores, el poco incremento se debió a la utilización de la plataforma microsoft teams como principal apoyo a la presencialidad asistida por efectos de la pandemia, 
</t>
    </r>
  </si>
  <si>
    <r>
      <rPr>
        <b/>
        <sz val="8"/>
        <rFont val="Calibri"/>
        <family val="2"/>
        <scheme val="minor"/>
      </rPr>
      <t>Cerrada y permanente</t>
    </r>
    <r>
      <rPr>
        <sz val="8"/>
        <rFont val="Calibri"/>
        <family val="2"/>
        <scheme val="minor"/>
      </rPr>
      <t xml:space="preserve">: Se tiene claramente definido el origen de la información primaria
Se realiza búsqueda de información cada vez que se requiere
Desde la Facultad de ingenierías se tiene la cultura del registro de la información cada vez que se realizan actividades o eventos
Registro oportunos por los aplicativos que tributan al SIGUL
</t>
    </r>
  </si>
  <si>
    <r>
      <rPr>
        <b/>
        <sz val="8"/>
        <color rgb="FFFF0000"/>
        <rFont val="Calibri"/>
        <family val="2"/>
        <scheme val="minor"/>
      </rPr>
      <t>En proceso</t>
    </r>
    <r>
      <rPr>
        <sz val="8"/>
        <rFont val="Calibri"/>
        <family val="2"/>
        <scheme val="minor"/>
      </rPr>
      <t xml:space="preserve">:  Debido a priorización desde la sede principal de implementar los resultados de aprendizaje de programa, se suspendió termporalmente el rediseño de los PEP de la Facultad bajo concepto multicampus, por lo cual se culminará el procesos durante la vigencia 2022.
</t>
    </r>
  </si>
  <si>
    <r>
      <rPr>
        <b/>
        <sz val="8"/>
        <rFont val="Calibri"/>
        <family val="2"/>
        <scheme val="minor"/>
      </rPr>
      <t>Cerrado y permanente:</t>
    </r>
    <r>
      <rPr>
        <sz val="8"/>
        <rFont val="Calibri"/>
        <family val="2"/>
        <scheme val="minor"/>
      </rPr>
      <t xml:space="preserve">
1. Se realizó seguimiento  al cumplimiento de los requisitos de la convocatoria para la clasificación de grupos en cada uno de los grupos de investigación . 
2. Se realizó capacitación a los docentes investigadores sobre el modelo de MINCIENCIAS  
3. Se realizó capacitación a los docentes investigadores en generación de nuevo conocimiento en Mendelev</t>
    </r>
  </si>
  <si>
    <r>
      <rPr>
        <b/>
        <sz val="8"/>
        <rFont val="Calibri"/>
        <family val="2"/>
        <scheme val="minor"/>
      </rPr>
      <t>Cerrado y permanente</t>
    </r>
    <r>
      <rPr>
        <sz val="8"/>
        <rFont val="Calibri"/>
        <family val="2"/>
        <scheme val="minor"/>
      </rPr>
      <t>:  Se realizó el tramite pertinente ante MINCIENCIAS, logrando la firma del contrato de financiación del proyecto</t>
    </r>
  </si>
  <si>
    <r>
      <rPr>
        <b/>
        <sz val="8"/>
        <rFont val="Calibri"/>
        <family val="2"/>
        <scheme val="minor"/>
      </rPr>
      <t>Cerrada y permanente:</t>
    </r>
    <r>
      <rPr>
        <sz val="8"/>
        <rFont val="Calibri"/>
        <family val="2"/>
        <scheme val="minor"/>
      </rPr>
      <t xml:space="preserve">  Se viene trabajando con los entes territoriales en proyectos de impacto social que contribuyen a la transformación del territorio . Se trabajó con la alcaldía de Pereira en el fortalecimiento del nodo de biotecnología.</t>
    </r>
  </si>
  <si>
    <r>
      <rPr>
        <b/>
        <sz val="8"/>
        <rFont val="Calibri"/>
        <family val="2"/>
        <scheme val="minor"/>
      </rPr>
      <t>Cerrado y permanente</t>
    </r>
    <r>
      <rPr>
        <sz val="8"/>
        <rFont val="Calibri"/>
        <family val="2"/>
        <scheme val="minor"/>
      </rPr>
      <t>:  Durante el año 2021 se implementó el registro de seguimiento de las prácticas empresariales por el kawak y se obtuvieron los registros esperados.  Una vez finalizado el 2021-2 se identificó falta de soportes por parte de algunos estudiantes en el sistema, razón por la cual se recibieron posteriormente a través del correo electrónico (empresarial.pei@unilibre.edu.co)</t>
    </r>
  </si>
  <si>
    <r>
      <rPr>
        <b/>
        <sz val="8"/>
        <rFont val="Calibri"/>
        <family val="2"/>
        <scheme val="minor"/>
      </rPr>
      <t>Cerrada y permanente:</t>
    </r>
    <r>
      <rPr>
        <sz val="8"/>
        <rFont val="Calibri"/>
        <family val="2"/>
        <scheme val="minor"/>
      </rPr>
      <t xml:space="preserve">  Durante el segundo semestre del año, se han realizado 3 brigadas jurídicas : Una en el parque industrial , AMCOVE y la Conciliaton del Minjusticia</t>
    </r>
  </si>
  <si>
    <r>
      <rPr>
        <b/>
        <sz val="8"/>
        <rFont val="Calibri"/>
        <family val="2"/>
        <scheme val="minor"/>
      </rPr>
      <t>Cerrada y permanente</t>
    </r>
    <r>
      <rPr>
        <sz val="8"/>
        <rFont val="Calibri"/>
        <family val="2"/>
        <scheme val="minor"/>
      </rPr>
      <t xml:space="preserve">:  Se realiza el monitoreo y seguimiento de las condiciones ambientales del depósito de Archivo Central de forma mensual a través de un formato seccional,  se registra a diario este seguimiento.
Se realizo el mantenimiento, orden y aseo del depósito de Archivo Central, que implica la limpieza de todos los estantes, pisos, paredes y unidades de conservación, incluyendo el aspirado interno y externo de los mobiliarios de archivo. Toda esta labor fue realizada por el personal de ASSERVI con el acompañamiento del personal de Gestión Documental, el día sábado 13 de marzo, de 9:00 a.m. a 12:00m.
</t>
    </r>
  </si>
  <si>
    <r>
      <rPr>
        <b/>
        <sz val="8"/>
        <color rgb="FFFF0000"/>
        <rFont val="Calibri"/>
        <family val="2"/>
        <scheme val="minor"/>
      </rPr>
      <t>En proceso</t>
    </r>
    <r>
      <rPr>
        <sz val="8"/>
        <rFont val="Calibri"/>
        <family val="2"/>
        <scheme val="minor"/>
      </rPr>
      <t>: Se realizó socialización en Comité Primario de Gestión Documental en la sede principal en el que se contemplaron  los cambios necesarios en el proceso de Actualización de TRD. Actividad que se llevó a cabo con todas las seccionales de manera remota, pendiente socializar con los líderes de proceso de las seccionales las TRD aprobadas</t>
    </r>
  </si>
  <si>
    <r>
      <rPr>
        <b/>
        <sz val="8"/>
        <rFont val="Calibri"/>
        <family val="2"/>
        <scheme val="minor"/>
      </rPr>
      <t>Cerrada y permanente:</t>
    </r>
    <r>
      <rPr>
        <sz val="8"/>
        <rFont val="Calibri"/>
        <family val="2"/>
        <scheme val="minor"/>
      </rPr>
      <t xml:space="preserve"> Se tiene implementada la facturación electrónica en la seccional, cumpliendo con las normas fiscales</t>
    </r>
  </si>
  <si>
    <r>
      <rPr>
        <b/>
        <sz val="8"/>
        <rFont val="Calibri"/>
        <family val="2"/>
        <scheme val="minor"/>
      </rPr>
      <t xml:space="preserve">Cerrada y permanente:  </t>
    </r>
    <r>
      <rPr>
        <sz val="8"/>
        <rFont val="Calibri"/>
        <family val="2"/>
        <scheme val="minor"/>
      </rPr>
      <t>En el mes de febrero de 2022, se realizó capacitación a los Jefes de áreas académicas y administrativas para la realización de la evaluación de desempeño por el aplicativo KACTUS.</t>
    </r>
  </si>
  <si>
    <r>
      <rPr>
        <b/>
        <sz val="8"/>
        <rFont val="Calibri"/>
        <family val="2"/>
        <scheme val="minor"/>
      </rPr>
      <t xml:space="preserve">Cerrada y permanente: </t>
    </r>
    <r>
      <rPr>
        <sz val="8"/>
        <rFont val="Calibri"/>
        <family val="2"/>
        <scheme val="minor"/>
      </rPr>
      <t xml:space="preserve"> Se programaron y ejecutaron las capacitaciones de trabajo en alturas para la persona encargada en servicios generales y un funcionario de Bienestar Universitario, quien hará las veces de Coordinador de trabajo en alturas, cumpliendo así con la resolución No. 1409 de 2012</t>
    </r>
  </si>
  <si>
    <r>
      <rPr>
        <b/>
        <sz val="8"/>
        <rFont val="Calibri"/>
        <family val="2"/>
        <scheme val="minor"/>
      </rPr>
      <t xml:space="preserve">Cerrada y permanente:  </t>
    </r>
    <r>
      <rPr>
        <sz val="8"/>
        <rFont val="Calibri"/>
        <family val="2"/>
        <scheme val="minor"/>
      </rPr>
      <t>Desde junio de 2021, se habilitó la plataforma para que los estudiantes realicen las solicitudes de preparatorios a través de la plataforma SINUGWT, previa capacitación a estudiantes y Jefes de Área</t>
    </r>
  </si>
  <si>
    <r>
      <rPr>
        <b/>
        <sz val="8"/>
        <rFont val="Calibri"/>
        <family val="2"/>
        <scheme val="minor"/>
      </rPr>
      <t>Cerrado</t>
    </r>
    <r>
      <rPr>
        <sz val="8"/>
        <rFont val="Calibri"/>
        <family val="2"/>
        <scheme val="minor"/>
      </rPr>
      <t>: Se renovó el contrato de mantenimiento del software y equipamiento con tiempos adecuados de respuesta en el mes de noviembre de 2021, lo cual previene fallas en el sistema de identificación de acceso con tarjetas</t>
    </r>
  </si>
  <si>
    <r>
      <rPr>
        <b/>
        <sz val="8"/>
        <rFont val="Calibri"/>
        <family val="2"/>
        <scheme val="minor"/>
      </rPr>
      <t>Cerrado y permanente</t>
    </r>
    <r>
      <rPr>
        <sz val="8"/>
        <rFont val="Calibri"/>
        <family val="2"/>
        <scheme val="minor"/>
      </rPr>
      <t>: Se hizo socialización a través de boletín informativo a toda la comunidad, igualmente se tiene publicado el E-Book de todas las seccionales en el micrositio , para el período 2022, se espera tenerlo como boletín estadístico de la seccional de los últimos 5 años</t>
    </r>
  </si>
  <si>
    <r>
      <rPr>
        <b/>
        <sz val="8"/>
        <color rgb="FFFF0000"/>
        <rFont val="Calibri"/>
        <family val="2"/>
        <scheme val="minor"/>
      </rPr>
      <t>Se elimina y cierra:</t>
    </r>
    <r>
      <rPr>
        <sz val="8"/>
        <color rgb="FFFF0000"/>
        <rFont val="Calibri"/>
        <family val="2"/>
        <scheme val="minor"/>
      </rPr>
      <t xml:space="preserve"> </t>
    </r>
    <r>
      <rPr>
        <sz val="8"/>
        <rFont val="Calibri"/>
        <family val="2"/>
        <scheme val="minor"/>
      </rPr>
      <t>No hay viabilidad del proyecto por no estar dentro de los impactos ambientales prioritarios</t>
    </r>
  </si>
  <si>
    <t>En la Seccional  durante el año 2021, se identificaron 27 riesgos y 76 oportunidades para mitigar o eliminar los riesgos, de las cuales 66 se encuentran cerradas y 10 en proceso, equivalente al 86,84% de cumplimiento en el cierre de las mismas. Los procesos que mayor número de riesgos identificaron fueron Docencia y proyección social. Igualmente para los procesos de Gestión Documental y Sistema de Gestión de calidad los riesgos son del orden nacional</t>
  </si>
  <si>
    <r>
      <rPr>
        <b/>
        <sz val="8"/>
        <rFont val="Calibri"/>
        <family val="2"/>
        <scheme val="minor"/>
      </rPr>
      <t xml:space="preserve">Cerradas y permanentes: </t>
    </r>
    <r>
      <rPr>
        <sz val="8"/>
        <rFont val="Calibri"/>
        <family val="2"/>
        <scheme val="minor"/>
      </rPr>
      <t xml:space="preserve">
</t>
    </r>
    <r>
      <rPr>
        <sz val="7"/>
        <rFont val="Calibri"/>
        <family val="2"/>
        <scheme val="minor"/>
      </rPr>
      <t>1. A través de las matrices SIACA y plantilla enviadas por la sede principal, diseñadas para recolectar la información del proceso de autoevaluación , los líderes de factor con sus respectivos equipos de trabajo y acudiendo a la fuente registraron la información solicitada de 5 años atrás.  Esta información fue analizada resaltando las evidencias de evolución de acuerdo a los indicadores del CNA.
2. Las unidades académicas y administrativas de la seccional como fuente de información primaria aportaron toda la información de acuerdo a su competencia evidenciando su gestión de los últimos 5 años. También jugó un papel muy importante los sistemas de información SIGUL.
3. Adicional a lo mencionado en el punto 1 y 2, y a raíz de que el modelo de autoevaluación de la institución aumentó el número de indicadores a medir fue necesario construir repositorios de información no registrada, lo que contribuyó a complementar la información.</t>
    </r>
  </si>
  <si>
    <t>AUDITORIAS INTERNAS   DE CALIDAD (Del 2 al 13 de mayo de 2022)</t>
  </si>
  <si>
    <t>riesgo ID 465
Prácticas</t>
  </si>
  <si>
    <t>Id192. Cumplimiento del Cronograma de transferencias documentales</t>
  </si>
  <si>
    <t>ID 193: Servicio de búsqueda y préstamo de Documentos (acuerdo)  "2"</t>
  </si>
  <si>
    <t>Id 383. Servicio de correspondencia (acuerdo de servicio)</t>
  </si>
  <si>
    <t>Anual (2022)</t>
  </si>
  <si>
    <t>Id 157. Oportunidad en la entrega Seccional Pereira</t>
  </si>
  <si>
    <t>Id 168. Cumplimiento (esta relacionado con el grado de consecución de tareas y/o actividades de la auditoría Interna) Seccional Pereira</t>
  </si>
  <si>
    <t>Id 642. Aprobación de Documentos en el SIC dentro de los tiempos establecidos por el SIG.</t>
  </si>
  <si>
    <t>Número de Documentos Aprobados dentro de los tiempos establecidos en el Sistema SIC/  Número total de solicitudes de cambio recibidas.</t>
  </si>
  <si>
    <t>Id 306. Días Promedio para el Trámite de Cuentas Radicadas (Acuerdo) Seccional Pereira</t>
  </si>
  <si>
    <t>Id 307. Días Promedio Para El Trámite de Cuentas Causadas y/o Registradas (Acuerdo). Seccional Pereira</t>
  </si>
  <si>
    <t>Id 432. Días Promedio Para el Trámite De Cuentas Giradas y/o Pagadas (Acuerdo). Seccional Pereira</t>
  </si>
  <si>
    <t>Número de cuentas giradas y/o pagadas dentro de los plazos establecidos en el acuerdo de servicio / Total de cuentas recibidas  en el mes</t>
  </si>
  <si>
    <t xml:space="preserve">Id 305.Eficacia del recaudo en los creditos directos </t>
  </si>
  <si>
    <t>Id 304. Eficacia del recaudo  en los créditos a través de entidades financieras</t>
  </si>
  <si>
    <t>Id 300. Oportunidad en entrega de estados financieros Seccional Seccional Pereira</t>
  </si>
  <si>
    <t>Id 230. Expedición de certificaciones laborales Físicas (Acuerdo) Seccional Pereira</t>
  </si>
  <si>
    <t>Id 233. Gestión de la Vinculación Administrativa. Seccional Pereira</t>
  </si>
  <si>
    <t>Sin análisis</t>
  </si>
  <si>
    <t>Id 234. Evaluación del desempeño (Seccional Pereira)</t>
  </si>
  <si>
    <t>Id 235. Cumplimiento del Plan de Formación para Administrativos. Seccional Pereira</t>
  </si>
  <si>
    <t>Id 614. Porcentaje de Ejecución del Presupuesto de Capacitación del Personal Administrativo. Seccional Pereira</t>
  </si>
  <si>
    <t>valor total del presupuesto ejecutado= valor total del presupuesto asignado</t>
  </si>
  <si>
    <t>Id 621. Porcentaje de Participación del Personal Administrativo en el Plan de Capacitaciones. Seccional Pereira</t>
  </si>
  <si>
    <t>Total del personal administrativo que participó por cada actividad/ Total de participantes administrativos convocados para la capacitación</t>
  </si>
  <si>
    <t>Id 628. Nivel de Satisfacción de las Capacitaciones Realizadas. Seccional Pereira</t>
  </si>
  <si>
    <t>Número de capitaciones evaluadas satisfactoriamente/ Total personal capacitado</t>
  </si>
  <si>
    <t>CONSOLIDADO DE TAREAS DE REVISIONES GERENCIALES  2007-1 AL 2022</t>
  </si>
  <si>
    <t xml:space="preserve"> 31802.72</t>
  </si>
  <si>
    <t>2022 - I</t>
  </si>
  <si>
    <t>2022 - II</t>
  </si>
  <si>
    <t>Numero total de población de la comunidad Unilibrista en semestre/ Número total de asistentes en programas de salud durante el semestre</t>
  </si>
  <si>
    <t>Número total de asistentes en programas de Desarrollo Humano durante el semestre / Numero total de población de la comunidad Unilibrista en semestre</t>
  </si>
  <si>
    <t>Id 407. Evaluación cumplimiento actividades de los grupos de investigación de la Sede Pereira</t>
  </si>
  <si>
    <t>ID 366:  Grupos de investigación reconocidos y Escalafonados por Colciencias de la Seccional Pereira</t>
  </si>
  <si>
    <t>Id 417. Porcentaje de docentes con Doctorado y/o Maestría Seccional Pereira</t>
  </si>
  <si>
    <r>
      <rPr>
        <b/>
        <sz val="12"/>
        <rFont val="Arial"/>
        <family val="2"/>
      </rPr>
      <t>ID64</t>
    </r>
    <r>
      <rPr>
        <sz val="10"/>
        <rFont val="Arial"/>
        <family val="2"/>
      </rPr>
      <t>:  Promedio evaluación Docente de la Facultad Ccias Económicas, administrativas y contables</t>
    </r>
  </si>
  <si>
    <r>
      <rPr>
        <b/>
        <sz val="12"/>
        <rFont val="Arial"/>
        <family val="2"/>
      </rPr>
      <t>ID65</t>
    </r>
    <r>
      <rPr>
        <sz val="10"/>
        <rFont val="Arial"/>
        <family val="2"/>
      </rPr>
      <t>: Promedio evaluación Docente de la Facultad de Ingenierías</t>
    </r>
  </si>
  <si>
    <r>
      <rPr>
        <b/>
        <sz val="10"/>
        <rFont val="Arial"/>
        <family val="2"/>
      </rPr>
      <t xml:space="preserve">ID67:  </t>
    </r>
    <r>
      <rPr>
        <sz val="10"/>
        <rFont val="Arial"/>
        <family val="2"/>
      </rPr>
      <t>Promedio evaluación Docente de la Facultad Ccias de la salud Exactas y naturales</t>
    </r>
  </si>
  <si>
    <t>Id 537. Eficiencia en la Asignación de Prácticas Empresariales. Seccional Pereira</t>
  </si>
  <si>
    <t>Número total de Prácticas Empresariales Asignadas en el Semestre/ Número Total de Solicitudes Recibidas para Asignación de Prácticas.</t>
  </si>
  <si>
    <t>Clases Presenciales y/o Virtuales Realizadas en Pregrado / Clases Presenciales y/o Virtuales  programadas en la Facultad de Ciencias de la Salud Exactas y Naturales</t>
  </si>
  <si>
    <t>Id 441. Cumplimiento de Clases Presenciales y/o Virtuales Programadas en Pregrado Seccional Pereira</t>
  </si>
  <si>
    <t>Id 672. Ejecución de Proyectos de Investigación. Seccional Pereira</t>
  </si>
  <si>
    <t>Total de Proyectos Ejecutados qiue cumplieron con las metas establecidas /  Total de Proyectos Planteados</t>
  </si>
  <si>
    <t>Presupuesto total ejecutado por Investigaciones/ Presupuesto total ejecutado por la Universidad</t>
  </si>
  <si>
    <t>Id 570. Programa de Educación Continua Ofertados (diplomados, foros, cursos, talleres, congresos, seminarios, simposios, conferencias, entre otros). Seccional Pereira</t>
  </si>
  <si>
    <t>Numero de Programas de Educación Continuada en Desarrollo Y/o Ejecutados/  Numero Total de Programas de Educación Continuadas</t>
  </si>
  <si>
    <t>ID 169: Días promedio para el trámite de cuentas por pagar
(Acuerdo)  "2"</t>
  </si>
  <si>
    <t>ID 1 Cumplimiento en el programa de Actividades</t>
  </si>
  <si>
    <t>ID 5 Quejas recurrentes por proceso</t>
  </si>
  <si>
    <t>ID 6 Quejas cerradas  en el período</t>
  </si>
  <si>
    <t>ID 7 Quejas respondidas dentro del tiempo establecido</t>
  </si>
  <si>
    <t>ID 8 Eficacia de la acciones correctivas implementadas</t>
  </si>
  <si>
    <t>ID 3  Cumplimiento al plan de implementación del cambio</t>
  </si>
  <si>
    <t>ID 4 Eficacia de las acciones de Gestión del Riesgo</t>
  </si>
  <si>
    <t>Id 364. Evaluación del Desempeño del Estudiante de Práctica Empresarial. Seccional Pereira</t>
  </si>
  <si>
    <t>Sumatoria de la calificación de la encuesta de satisfacción de las entidades en las cuales se desarrollan las practicas empresariales/  Número total de calificaciones recibidas en el semestre de las entidades</t>
  </si>
  <si>
    <t>4.5</t>
  </si>
  <si>
    <r>
      <rPr>
        <b/>
        <sz val="12"/>
        <rFont val="Arial"/>
        <family val="2"/>
      </rPr>
      <t>ID66</t>
    </r>
    <r>
      <rPr>
        <sz val="10"/>
        <rFont val="Arial"/>
        <family val="2"/>
      </rPr>
      <t>:  Promedio evaluación Docente de la Facultad  Derecho Ccias Políticas y sociales</t>
    </r>
  </si>
  <si>
    <t>ID 380  Servicio de mantenimiento (Acuerdo) 2 y 3</t>
  </si>
  <si>
    <t xml:space="preserve">ID 381 Ejecuciòn del plan de acciòn </t>
  </si>
  <si>
    <r>
      <t xml:space="preserve">ID 382:  Nivel de satisfacción en los servicios </t>
    </r>
    <r>
      <rPr>
        <b/>
        <sz val="10"/>
        <color rgb="FFFF0000"/>
        <rFont val="Arial"/>
        <family val="2"/>
      </rPr>
      <t>de mantenimiento</t>
    </r>
    <r>
      <rPr>
        <b/>
        <sz val="10"/>
        <rFont val="Arial"/>
        <family val="2"/>
      </rPr>
      <t xml:space="preserve"> prestados</t>
    </r>
  </si>
  <si>
    <t>2022-1</t>
  </si>
  <si>
    <t>2022-2</t>
  </si>
  <si>
    <t>CALIFICACIONES DEL SERVICIO - AÑO 2022</t>
  </si>
  <si>
    <t>DOCENCIA - Facultad de CEAC</t>
  </si>
  <si>
    <t>99,55%</t>
  </si>
  <si>
    <t>97,04%</t>
  </si>
  <si>
    <t>DOCENCIA - Facultad de ciencias de la salud, Exactas y Naturales</t>
  </si>
  <si>
    <t>1.206 calif. SS</t>
  </si>
  <si>
    <t>COMPARATIVO DE RESULTADOS DE CALIFICACION DEL SERVICIO 2013-1 Al 2022</t>
  </si>
  <si>
    <t>PETICIONES, QUEJAS, RECLAMOS, SOLICITUDES (PQRSD)</t>
  </si>
  <si>
    <t>Motivos de las PQRSD</t>
  </si>
  <si>
    <t xml:space="preserve">que </t>
  </si>
  <si>
    <t>Id 687. Cumplimiento en la Proyección de los Grupos de Investigación Categorizados y Escalafonados por Minciencias. Seccional Pereira</t>
  </si>
  <si>
    <r>
      <t xml:space="preserve">Id </t>
    </r>
    <r>
      <rPr>
        <b/>
        <sz val="12"/>
        <rFont val="Arial"/>
        <family val="2"/>
      </rPr>
      <t>682</t>
    </r>
    <r>
      <rPr>
        <b/>
        <sz val="12"/>
        <color rgb="FFFF0000"/>
        <rFont val="Arial"/>
        <family val="2"/>
      </rPr>
      <t>. Ejecución Presupuestal de Investigaciones. Seccional Pereira.</t>
    </r>
  </si>
  <si>
    <t>Total de grupos de Investigación que Subieron o Mantuvierón la Categorización/ Total Grupos de Investigación Proyectados para Subir o Mantener la Categorización.</t>
  </si>
  <si>
    <t>Id 558. Porcentaje de empresas con Seguimiento (Virtual y/o Presencial) en Prácticas Empresariales. Seccional Pereira</t>
  </si>
  <si>
    <t>Total de empresas con Seguimiento (Virtual y/o Presencial), por parte del Docente Monitor, en Prácticas Empresariales. /  Total de empresas a visitar en el semestre</t>
  </si>
  <si>
    <t>SEGUIMIENTO
2022-2</t>
  </si>
  <si>
    <r>
      <rPr>
        <b/>
        <sz val="12"/>
        <rFont val="Calibri"/>
        <family val="2"/>
        <scheme val="minor"/>
      </rPr>
      <t xml:space="preserve">ID20757: </t>
    </r>
    <r>
      <rPr>
        <b/>
        <sz val="11"/>
        <rFont val="Calibri"/>
        <family val="2"/>
        <scheme val="minor"/>
      </rPr>
      <t>Ingenierías</t>
    </r>
    <r>
      <rPr>
        <sz val="11"/>
        <rFont val="Calibri"/>
        <family val="2"/>
        <scheme val="minor"/>
      </rPr>
      <t>: Actualización de los microcurrículos  y PEP de acuerdo al nuevo plan de estudios de 8 semestres</t>
    </r>
    <r>
      <rPr>
        <sz val="10"/>
        <rFont val="Calibri"/>
        <family val="2"/>
        <scheme val="minor"/>
      </rPr>
      <t xml:space="preserve"> (Calidad en los procesos de formación de los estudiantes)</t>
    </r>
  </si>
  <si>
    <r>
      <rPr>
        <b/>
        <sz val="11"/>
        <rFont val="Calibri"/>
        <family val="2"/>
        <scheme val="minor"/>
      </rPr>
      <t>Cerrado:</t>
    </r>
    <r>
      <rPr>
        <sz val="11"/>
        <rFont val="Calibri"/>
        <family val="2"/>
        <scheme val="minor"/>
      </rPr>
      <t xml:space="preserve">  Se solicitó a los docentes realizar la actualización de los microcurrículos y se encuentran publicados en la página de la Universidad para el plan de estudios de 10 semestres. Se propone actualizarlos para el nuevo plan de estudios de 8 semestres a medida que se avanza en el Plan de Estudios.</t>
    </r>
  </si>
  <si>
    <r>
      <rPr>
        <b/>
        <sz val="12"/>
        <rFont val="Calibri"/>
        <family val="2"/>
        <scheme val="minor"/>
      </rPr>
      <t xml:space="preserve">ID20760: </t>
    </r>
    <r>
      <rPr>
        <b/>
        <sz val="11"/>
        <rFont val="Calibri"/>
        <family val="2"/>
        <scheme val="minor"/>
      </rPr>
      <t>Ingenierías</t>
    </r>
    <r>
      <rPr>
        <sz val="11"/>
        <rFont val="Calibri"/>
        <family val="2"/>
        <scheme val="minor"/>
      </rPr>
      <t xml:space="preserve">: Dotación tecnológica de los laboratorios especializados de Ing.Comercial, Financiera y Sistemas </t>
    </r>
    <r>
      <rPr>
        <sz val="10"/>
        <rFont val="Calibri"/>
        <family val="2"/>
        <scheme val="minor"/>
      </rPr>
      <t>(Mejorar los procesos de docencia e  investigación)</t>
    </r>
  </si>
  <si>
    <r>
      <rPr>
        <b/>
        <sz val="11"/>
        <color rgb="FFFF0000"/>
        <rFont val="Calibri"/>
        <family val="2"/>
        <scheme val="minor"/>
      </rPr>
      <t>En proceso:</t>
    </r>
    <r>
      <rPr>
        <sz val="11"/>
        <rFont val="Calibri"/>
        <family val="2"/>
        <scheme val="minor"/>
      </rPr>
      <t xml:space="preserve">  Se presentó la solicitud de compra de los equipos de computo necesarios para cada uno de los laboratorios propuestos y se encuentran en trámite. Igualmente, se realizó el empotramiento de algunos video Beam en los laboratorios.</t>
    </r>
  </si>
  <si>
    <r>
      <rPr>
        <b/>
        <sz val="12"/>
        <rFont val="Calibri"/>
        <family val="2"/>
        <scheme val="minor"/>
      </rPr>
      <t xml:space="preserve">ID20762: </t>
    </r>
    <r>
      <rPr>
        <b/>
        <sz val="11"/>
        <rFont val="Calibri"/>
        <family val="2"/>
        <scheme val="minor"/>
      </rPr>
      <t>Ingenierías</t>
    </r>
    <r>
      <rPr>
        <sz val="11"/>
        <rFont val="Calibri"/>
        <family val="2"/>
        <scheme val="minor"/>
      </rPr>
      <t xml:space="preserve">: Obtención del registro calificado para los nuevos progrmas de Especialización en:  Seguridad de la información y Gerencia de Construcción </t>
    </r>
    <r>
      <rPr>
        <sz val="10"/>
        <rFont val="Calibri"/>
        <family val="2"/>
        <scheme val="minor"/>
      </rPr>
      <t>(Ampliación de la oferta académica en la Facultad)</t>
    </r>
  </si>
  <si>
    <r>
      <rPr>
        <b/>
        <sz val="12"/>
        <rFont val="Calibri"/>
        <family val="2"/>
        <scheme val="minor"/>
      </rPr>
      <t xml:space="preserve">ID20763: </t>
    </r>
    <r>
      <rPr>
        <b/>
        <sz val="11"/>
        <rFont val="Calibri"/>
        <family val="2"/>
        <scheme val="minor"/>
      </rPr>
      <t>Ingenierías</t>
    </r>
    <r>
      <rPr>
        <sz val="11"/>
        <rFont val="Calibri"/>
        <family val="2"/>
        <scheme val="minor"/>
      </rPr>
      <t xml:space="preserve">: Actualización de los planes de estudio a 8 semestres y ampliación del lugar de desarrollo del programa de Ingeniería Civil </t>
    </r>
    <r>
      <rPr>
        <sz val="10"/>
        <rFont val="Calibri"/>
        <family val="2"/>
        <scheme val="minor"/>
      </rPr>
      <t>(Obtención resolución de modificación de registro calificado MEN)</t>
    </r>
  </si>
  <si>
    <r>
      <rPr>
        <b/>
        <sz val="11"/>
        <color rgb="FFFF0000"/>
        <rFont val="Calibri"/>
        <family val="2"/>
        <scheme val="minor"/>
      </rPr>
      <t xml:space="preserve">En proceso: </t>
    </r>
    <r>
      <rPr>
        <sz val="11"/>
        <rFont val="Calibri"/>
        <family val="2"/>
        <scheme val="minor"/>
      </rPr>
      <t xml:space="preserve"> Se obtuvo de parte del MEN las Resoluciones modificatorias de los Registros Calificados para los programas de Ingeniería Comercial, Ingeniería Financiera e Ingeniería de Sistemas aprobando los planes de estudio a 8 semestres y 144 créditos académicos. Pendiente respuesta del MEN para el programa de Ingeniería Civil que además incluye el ampliación del lugar de desarrollo.
Los cuatro programas de pregrado adscritos a la Facultad tienen registro calificado aprobado por el MEN con el plan de estudios de 8 semestres. Pendiente que el MEN revise y apruebe la ampliación del lugar de ampliación del Lugar de Desarrollo del programa de Ingeniería Civil hacia Cali.</t>
    </r>
  </si>
  <si>
    <r>
      <rPr>
        <b/>
        <sz val="12"/>
        <rFont val="Calibri"/>
        <family val="2"/>
        <scheme val="minor"/>
      </rPr>
      <t xml:space="preserve">ID20766: </t>
    </r>
    <r>
      <rPr>
        <b/>
        <sz val="11"/>
        <rFont val="Calibri"/>
        <family val="2"/>
        <scheme val="minor"/>
      </rPr>
      <t>Ingenierías</t>
    </r>
    <r>
      <rPr>
        <sz val="11"/>
        <rFont val="Calibri"/>
        <family val="2"/>
        <scheme val="minor"/>
      </rPr>
      <t>: Definición y ejecución de los macroproyectos de proyección social de cada programa académico adscrito a la Facultad´</t>
    </r>
    <r>
      <rPr>
        <sz val="10"/>
        <rFont val="Calibri"/>
        <family val="2"/>
        <scheme val="minor"/>
      </rPr>
      <t>(Contribuir a la solución de problemas del entorno mediante el desarrollo de las prácticas  profesionales propias del programa y trabajar de manera articulada con el sector productivo)</t>
    </r>
  </si>
  <si>
    <r>
      <rPr>
        <b/>
        <sz val="11"/>
        <rFont val="Calibri"/>
        <family val="2"/>
        <scheme val="minor"/>
      </rPr>
      <t>Cerrado y permanente</t>
    </r>
    <r>
      <rPr>
        <sz val="11"/>
        <rFont val="Calibri"/>
        <family val="2"/>
        <scheme val="minor"/>
      </rPr>
      <t>:  Se definieron los macroproyectos, las líneas y los programas académicos que los lideran. Se encuentra en la fase de la ejecución de los proyectos.</t>
    </r>
  </si>
  <si>
    <r>
      <rPr>
        <b/>
        <sz val="12"/>
        <rFont val="Arial"/>
        <family val="2"/>
      </rPr>
      <t xml:space="preserve">ID20688: </t>
    </r>
    <r>
      <rPr>
        <b/>
        <sz val="10"/>
        <rFont val="Arial"/>
        <family val="2"/>
      </rPr>
      <t xml:space="preserve">Derecho CPS: </t>
    </r>
    <r>
      <rPr>
        <sz val="10"/>
        <rFont val="Arial"/>
        <family val="2"/>
      </rPr>
      <t xml:space="preserve"> Actualización de los microcurrículos teniendo en cuenta el decreto 1330 que incorpora los resultados de aprendizaje</t>
    </r>
  </si>
  <si>
    <r>
      <rPr>
        <b/>
        <sz val="10"/>
        <rFont val="Arial"/>
        <family val="2"/>
      </rPr>
      <t xml:space="preserve">ID 20691: Derecho CPS: </t>
    </r>
    <r>
      <rPr>
        <sz val="9"/>
        <rFont val="Arial"/>
        <family val="2"/>
      </rPr>
      <t>Socializar el PEP del programa de Derecho Semestralizado a través del micrositio del programa en la página web institucional (Cumplir con los lineamientos del MEN y mantener actualizada la información).</t>
    </r>
  </si>
  <si>
    <r>
      <rPr>
        <b/>
        <sz val="10"/>
        <rFont val="Arial"/>
        <family val="2"/>
      </rPr>
      <t>ID 20692: Derecho CPS:</t>
    </r>
    <r>
      <rPr>
        <sz val="9"/>
        <rFont val="Arial"/>
        <family val="2"/>
      </rPr>
      <t>Traslado del programa de trabajo social para la sede de Belmonte</t>
    </r>
  </si>
  <si>
    <r>
      <rPr>
        <b/>
        <sz val="12"/>
        <rFont val="Calibri"/>
        <family val="2"/>
        <scheme val="minor"/>
      </rPr>
      <t xml:space="preserve">ID19999: </t>
    </r>
    <r>
      <rPr>
        <b/>
        <sz val="11"/>
        <rFont val="Calibri"/>
        <family val="2"/>
        <scheme val="minor"/>
      </rPr>
      <t>Facciencias</t>
    </r>
    <r>
      <rPr>
        <sz val="11"/>
        <rFont val="Calibri"/>
        <family val="2"/>
        <scheme val="minor"/>
      </rPr>
      <t>:  Desarrollar conjuntamente con la ORI clases espejo, conferencias, intercambios, entre otros (Fortalecer la internacionalización a través de la movilidad, conferencias, seminarios, entre otros)</t>
    </r>
  </si>
  <si>
    <r>
      <rPr>
        <b/>
        <sz val="11"/>
        <rFont val="Calibri"/>
        <family val="2"/>
        <scheme val="minor"/>
      </rPr>
      <t xml:space="preserve">Cerrado: </t>
    </r>
    <r>
      <rPr>
        <sz val="11"/>
        <rFont val="Calibri"/>
        <family val="2"/>
        <scheme val="minor"/>
      </rPr>
      <t>Se han desarrollado conferencias desde la Facultad y se han enviado los reportes a la ORI .Es una acción permanente de interacción</t>
    </r>
  </si>
  <si>
    <r>
      <rPr>
        <b/>
        <sz val="12"/>
        <rFont val="Calibri"/>
        <family val="2"/>
        <scheme val="minor"/>
      </rPr>
      <t xml:space="preserve">ID19997: </t>
    </r>
    <r>
      <rPr>
        <b/>
        <sz val="11"/>
        <rFont val="Calibri"/>
        <family val="2"/>
        <scheme val="minor"/>
      </rPr>
      <t>Facciencias</t>
    </r>
    <r>
      <rPr>
        <sz val="11"/>
        <rFont val="Calibri"/>
        <family val="2"/>
        <scheme val="minor"/>
      </rPr>
      <t>:  Formalizar el sistema de atención a los estudiantes de la Facultad, para cursar y/o acreditar el inglés a través del CLEUL en los planes de estudio nuevos (Respuestas oportunas a estudiantes para acreditar el nivel de inglés B1 como requisito de grado)</t>
    </r>
  </si>
  <si>
    <r>
      <rPr>
        <b/>
        <sz val="12"/>
        <rFont val="Calibri"/>
        <family val="2"/>
        <scheme val="minor"/>
      </rPr>
      <t xml:space="preserve">ID19903: </t>
    </r>
    <r>
      <rPr>
        <b/>
        <sz val="11"/>
        <rFont val="Calibri"/>
        <family val="2"/>
        <scheme val="minor"/>
      </rPr>
      <t xml:space="preserve">Ccias Salud, exactas y naturales: </t>
    </r>
    <r>
      <rPr>
        <sz val="11"/>
        <rFont val="Calibri"/>
        <family val="2"/>
        <scheme val="minor"/>
      </rPr>
      <t>Cambio de denominación de la Facultad de Ciencias de la Salud por Ciencias de la Salud, Exactas y Naturales.</t>
    </r>
  </si>
  <si>
    <r>
      <rPr>
        <b/>
        <sz val="11"/>
        <rFont val="Calibri"/>
        <family val="2"/>
        <scheme val="minor"/>
      </rPr>
      <t>Cerrada</t>
    </r>
    <r>
      <rPr>
        <sz val="11"/>
        <rFont val="Calibri"/>
        <family val="2"/>
        <scheme val="minor"/>
      </rPr>
      <t>: La Honorable Consiiatura decidió en sesión del 31 de enero de 2022, aprobar el cambio de nombre de la Facultad de Ciencias de la Salud por el de Facultad de ciencias de la Salud, Exactas y Naturales.</t>
    </r>
  </si>
  <si>
    <r>
      <rPr>
        <b/>
        <sz val="12"/>
        <rFont val="Calibri"/>
        <family val="2"/>
        <scheme val="minor"/>
      </rPr>
      <t xml:space="preserve">ID19904: </t>
    </r>
    <r>
      <rPr>
        <b/>
        <sz val="11"/>
        <rFont val="Calibri"/>
        <family val="2"/>
        <scheme val="minor"/>
      </rPr>
      <t xml:space="preserve">Ccias Salud, exactas y naturales: </t>
    </r>
    <r>
      <rPr>
        <sz val="11"/>
        <rFont val="Calibri"/>
        <family val="2"/>
        <scheme val="minor"/>
      </rPr>
      <t>Cambio Creación del departamento de ciencias básicas</t>
    </r>
  </si>
  <si>
    <r>
      <rPr>
        <b/>
        <sz val="12"/>
        <rFont val="Arial"/>
        <family val="2"/>
      </rPr>
      <t xml:space="preserve">ID20102: </t>
    </r>
    <r>
      <rPr>
        <b/>
        <sz val="10"/>
        <rFont val="Arial"/>
        <family val="2"/>
      </rPr>
      <t>Posgrados y mercadeo</t>
    </r>
    <r>
      <rPr>
        <sz val="10"/>
        <rFont val="Arial"/>
        <family val="2"/>
      </rPr>
      <t>: Creación del Comité de seguimiento en Posgrados (Garantizar el crecimiento y/o sostenimiento del número de estudiantes de los programas de posgrado)</t>
    </r>
  </si>
  <si>
    <r>
      <rPr>
        <b/>
        <sz val="11"/>
        <rFont val="Calibri"/>
        <family val="2"/>
        <scheme val="minor"/>
      </rPr>
      <t xml:space="preserve">Cerrado: </t>
    </r>
    <r>
      <rPr>
        <sz val="11"/>
        <rFont val="Calibri"/>
        <family val="2"/>
        <scheme val="minor"/>
      </rPr>
      <t>Este comité se creó y sesionó durante el primer semestre de 2022, el cual fue coyuntural por la necesidad del momento.</t>
    </r>
  </si>
  <si>
    <r>
      <t xml:space="preserve">ID19303: </t>
    </r>
    <r>
      <rPr>
        <sz val="10"/>
        <rFont val="Arial"/>
        <family val="2"/>
      </rPr>
      <t>Plan de mejoramiento 2022 - 2023 (Elaborar y ejecutar las actividades del plan de mejoramiento 2022 - 2023 del proceso de investigación, de acuerdo a la recomendación de los Pares del CNA)</t>
    </r>
  </si>
  <si>
    <r>
      <rPr>
        <b/>
        <sz val="12"/>
        <rFont val="Arial"/>
        <family val="2"/>
      </rPr>
      <t>ID19538:</t>
    </r>
    <r>
      <rPr>
        <sz val="10"/>
        <rFont val="Arial"/>
        <family val="2"/>
      </rPr>
      <t xml:space="preserve">  </t>
    </r>
    <r>
      <rPr>
        <b/>
        <sz val="12"/>
        <rFont val="Arial"/>
        <family val="2"/>
      </rPr>
      <t>Dir PS</t>
    </r>
    <r>
      <rPr>
        <sz val="10"/>
        <rFont val="Arial"/>
        <family val="2"/>
      </rPr>
      <t>: Visibilización de los programas , proyectos y actividades de proyección social a nivel interno y externo.</t>
    </r>
  </si>
  <si>
    <r>
      <rPr>
        <b/>
        <sz val="12"/>
        <rFont val="Arial"/>
        <family val="2"/>
      </rPr>
      <t xml:space="preserve">ID19541: Dir PS: </t>
    </r>
    <r>
      <rPr>
        <sz val="10"/>
        <rFont val="Arial"/>
        <family val="2"/>
      </rPr>
      <t>Instalación y puesta en marcha de los Comités de proyección social y educación continuada Seccional y de Facultad (Mantener informados a la comunidad unilibristra y comprometer a los actores involucrados en todas las acciones de proyección social y educación continuada de la Seccional)</t>
    </r>
  </si>
  <si>
    <r>
      <rPr>
        <b/>
        <sz val="12"/>
        <rFont val="Arial"/>
        <family val="2"/>
      </rPr>
      <t xml:space="preserve">ID19532: Emprendimiento: </t>
    </r>
    <r>
      <rPr>
        <sz val="10"/>
        <rFont val="Arial"/>
        <family val="2"/>
      </rPr>
      <t>Conformación y puesta en marcha del Comité de emprendimiento (Realizar seguimiento, control y proyección de nuevas oportunidades que se puedan presentar para el Consultorio Empresarial)</t>
    </r>
  </si>
  <si>
    <r>
      <rPr>
        <b/>
        <sz val="12"/>
        <rFont val="Arial"/>
        <family val="2"/>
      </rPr>
      <t xml:space="preserve">ID19534: Emprendimiento: </t>
    </r>
    <r>
      <rPr>
        <sz val="10"/>
        <rFont val="Arial"/>
        <family val="2"/>
      </rPr>
      <t>Creación de la ruta para la formulación de proyectos (Brindar mejor claridad y orientación a los usuarios que solicitan acompañamiento en sus emprendimientos)</t>
    </r>
  </si>
  <si>
    <r>
      <rPr>
        <b/>
        <sz val="12"/>
        <rFont val="Arial"/>
        <family val="2"/>
      </rPr>
      <t xml:space="preserve">ID19533: Prácticas: </t>
    </r>
    <r>
      <rPr>
        <sz val="10"/>
        <rFont val="Arial"/>
        <family val="2"/>
      </rPr>
      <t>Crear carpetas compartidas en el drive de practicas por programa, grupo, tipo de práctica, docente y estudiante (Mayor oportunidad de recopilación de información para el cumplimiento de la práctica y generar certificación de paz y salvo sin ningún inconveniente)</t>
    </r>
  </si>
  <si>
    <r>
      <rPr>
        <b/>
        <sz val="11"/>
        <rFont val="Calibri"/>
        <family val="2"/>
        <scheme val="minor"/>
      </rPr>
      <t xml:space="preserve">Cerrada y permanente: </t>
    </r>
    <r>
      <rPr>
        <sz val="11"/>
        <rFont val="Calibri"/>
        <family val="2"/>
        <scheme val="minor"/>
      </rPr>
      <t xml:space="preserve"> Se divulgó y se hizo seguimiento permanente a las carpetas de los estudiantes practicantes en ONEDRIVE con el fin de monitorear la información entregada por parte de los estudiantes y/o docentes.
Se evidencia un buen comportamiento en la entrega oportuna de la información.
Para el semestre 2022-1 se realizó la caracterización de los 244 practicantes, por programa y por grupos de práctica; se registraron los estudiantes de práctica empresarial y profesional en la plataforma KAWAK y posteriormente los docentes realizaron la verificación y aprobación de los documentos de cada estudiante.
Esta acción permitió a la Coordinación realizar un seguimiento a cada uno de los 244 estudiantes con el fin de que sus carpetas tengan toda la información requerida para el proceso de expedición de los paz y salvos necesarios para la solicitud de grado.</t>
    </r>
  </si>
  <si>
    <r>
      <rPr>
        <b/>
        <sz val="12"/>
        <rFont val="Arial"/>
        <family val="2"/>
      </rPr>
      <t xml:space="preserve">ID33477: Consultorio Juridico y Centro de Conciliación: </t>
    </r>
    <r>
      <rPr>
        <sz val="10"/>
        <rFont val="Arial"/>
        <family val="2"/>
      </rPr>
      <t>Lenguaje de señas (Brindar una mejor asesoría a la población en condición de discapacidad que solicita los servicios de consultorio jurídico y centro de conciliación para facilitar la comunicación con personas en condición de discapacidad oral, visual y auditiva)</t>
    </r>
  </si>
  <si>
    <r>
      <rPr>
        <b/>
        <sz val="11"/>
        <rFont val="Calibri"/>
        <family val="2"/>
        <scheme val="minor"/>
      </rPr>
      <t>Cerrada y Permanente</t>
    </r>
    <r>
      <rPr>
        <sz val="11"/>
        <rFont val="Calibri"/>
        <family val="2"/>
        <scheme val="minor"/>
      </rPr>
      <t>:  La señalética (brile) fue instalada en junio de 2022 en los siguientes sitios:
Recepción
Área de consulta
Sala de conciliación
Sala de espera
Baños
La cual cumple los requisitos de ley
En el mes agosto se firmó el convenio con la escuela la Palabra (institución educativa inclusiva), se inicio el curso de lenguaje señas colombiano básico, en el mes de octubre de 2022, de un total de 8 clases se han desarrollado 3 de 2 horas cada una.
Estado: Ejecutado</t>
    </r>
  </si>
  <si>
    <r>
      <rPr>
        <b/>
        <sz val="12"/>
        <rFont val="Arial"/>
        <family val="2"/>
      </rPr>
      <t>ID 24871</t>
    </r>
    <r>
      <rPr>
        <sz val="10"/>
        <rFont val="Arial"/>
        <family val="2"/>
      </rPr>
      <t xml:space="preserve"> Realizar evento promocional de internacionalización (Mayor visibilización de la Internacionalización en la Universidad Libre)</t>
    </r>
  </si>
  <si>
    <r>
      <rPr>
        <b/>
        <sz val="11"/>
        <rFont val="Arial"/>
        <family val="2"/>
      </rPr>
      <t>ID20318 GH:</t>
    </r>
    <r>
      <rPr>
        <sz val="10"/>
        <rFont val="Arial"/>
        <family val="2"/>
      </rPr>
      <t xml:space="preserve"> Brindar asesoría permanente al personal administrativo y docente vinculado laboralmente a la Universidad, en cuanto al regímen pensional más conveniente, de acuerdo con su situación particular.(Facilitar herramientas que permitan garantizar unn reconocimiento pensional de mejores ingresos)</t>
    </r>
  </si>
  <si>
    <r>
      <rPr>
        <b/>
        <sz val="12"/>
        <color theme="1"/>
        <rFont val="Arial"/>
        <family val="2"/>
      </rPr>
      <t>ID20320 GH:</t>
    </r>
    <r>
      <rPr>
        <sz val="12"/>
        <color theme="1"/>
        <rFont val="Arial"/>
        <family val="2"/>
      </rPr>
      <t xml:space="preserve"> Ejecutar el plan de intervención estructurado de acuerdo con los resultados de la encuesta de clima organizacional, en cada una de las áreas donde se detectó la necesidad.(Generar un mejor clima laboral y empoderamiento en el personal administrativo)</t>
    </r>
  </si>
  <si>
    <r>
      <rPr>
        <b/>
        <sz val="12"/>
        <rFont val="Calibri"/>
        <family val="2"/>
        <scheme val="minor"/>
      </rPr>
      <t>Cerrado y permanente:</t>
    </r>
    <r>
      <rPr>
        <sz val="12"/>
        <rFont val="Calibri"/>
        <family val="2"/>
        <scheme val="minor"/>
      </rPr>
      <t xml:space="preserve">:   Se realizó intervención grupal tanto en Gestión Financiera  como en Biblioteca, conjuntamente con la  ARL. En cada dependencia se dictaron 2 tallares, de duración de 1 hora cada uno. El primero sobre comunicación asertiva y el segundo sobre trabajo en equipo. Adicional a ello, la psicologa de Bienestar Dra. Luz Marina, realizó unas intervenciones individuales en Biblioteca (con quienes voluntariamente quisieron participar), pues no todos quisieron agendar cita, con ello se elaboró un cronograma por parte de Bienestar Universitario. </t>
    </r>
  </si>
  <si>
    <r>
      <rPr>
        <b/>
        <sz val="11"/>
        <rFont val="Arial"/>
        <family val="2"/>
      </rPr>
      <t>ID20394 GH:</t>
    </r>
    <r>
      <rPr>
        <sz val="10"/>
        <rFont val="Arial"/>
        <family val="2"/>
      </rPr>
      <t xml:space="preserve"> Implementar la política de desconexión laboral conforme a lo establecido en la ley 2191 del 6 de enero de 2022 
</t>
    </r>
    <r>
      <rPr>
        <sz val="8"/>
        <rFont val="Arial"/>
        <family val="2"/>
      </rPr>
      <t>1.  Propiciar un entorno laboral saludable que garantice el derecho a la desconexión laboral
2.  Cumplir con la ley 2191 del 6 de enero de 2022</t>
    </r>
  </si>
  <si>
    <r>
      <rPr>
        <b/>
        <sz val="11"/>
        <rFont val="Calibri"/>
        <family val="2"/>
        <scheme val="minor"/>
      </rPr>
      <t xml:space="preserve">Cerrado y permanente: </t>
    </r>
    <r>
      <rPr>
        <b/>
        <sz val="11"/>
        <color rgb="FFFF0000"/>
        <rFont val="Calibri"/>
        <family val="2"/>
        <scheme val="minor"/>
      </rPr>
      <t xml:space="preserve"> </t>
    </r>
    <r>
      <rPr>
        <sz val="11"/>
        <rFont val="Calibri"/>
        <family val="2"/>
        <scheme val="minor"/>
      </rPr>
      <t>Desde la seccional Pereira se propuso reunión con los demás jefes de personal con el fin de estructurar, conjuntamente la política de desconexión laboral conforme la Ley 2191 de 2022
De acuerdo a trabajo realizado de manera conjunta todos los jefes de personal y previa revisión por planeación nacional, se socializó el 4 de octubre, mediante boletín informativo la política de desconexión laboral de la Universidad Libre y está en implementación.</t>
    </r>
  </si>
  <si>
    <r>
      <rPr>
        <b/>
        <sz val="11"/>
        <rFont val="Arial"/>
        <family val="2"/>
      </rPr>
      <t>ID20786 SG SST:</t>
    </r>
    <r>
      <rPr>
        <sz val="10"/>
        <rFont val="Arial"/>
        <family val="2"/>
      </rPr>
      <t xml:space="preserve"> Identificar las necesidades de formación, capacitación de seguridad vial para toda la comunidad unilibrista </t>
    </r>
    <r>
      <rPr>
        <sz val="9"/>
        <rFont val="Arial"/>
        <family val="2"/>
      </rPr>
      <t>(Implementar la primera fase del programa estratégico de seguridad vial  - Mejorar las condiciones de seguridad en:  La garita de vigilancia, parqueaderos)</t>
    </r>
  </si>
  <si>
    <r>
      <rPr>
        <b/>
        <sz val="11"/>
        <rFont val="Arial"/>
        <family val="2"/>
      </rPr>
      <t>ID20787 SG SST:</t>
    </r>
    <r>
      <rPr>
        <sz val="10"/>
        <rFont val="Arial"/>
        <family val="2"/>
      </rPr>
      <t xml:space="preserve"> Participación del estamento docente en el programa de capacitación del SG SST (Culturizar a la población docente en  la importancia de la Seguridad y salud en trabajo)</t>
    </r>
  </si>
  <si>
    <r>
      <rPr>
        <b/>
        <sz val="12"/>
        <rFont val="Arial"/>
        <family val="2"/>
      </rPr>
      <t xml:space="preserve">ID19961: </t>
    </r>
    <r>
      <rPr>
        <sz val="10"/>
        <rFont val="Arial"/>
        <family val="2"/>
      </rPr>
      <t>Puesta en marcha del módulo de tutorías (Capacitación a Facultades)</t>
    </r>
  </si>
  <si>
    <r>
      <rPr>
        <b/>
        <sz val="12"/>
        <rFont val="Arial"/>
        <family val="2"/>
      </rPr>
      <t xml:space="preserve">ID19963: </t>
    </r>
    <r>
      <rPr>
        <sz val="10"/>
        <rFont val="Arial"/>
        <family val="2"/>
      </rPr>
      <t>Puesta en marcha del módulo de gestión docente (Capacitación Plan de trabajo docente)</t>
    </r>
  </si>
  <si>
    <r>
      <rPr>
        <b/>
        <sz val="12"/>
        <rFont val="Arial"/>
        <family val="2"/>
      </rPr>
      <t xml:space="preserve">ID19174 Salud: </t>
    </r>
    <r>
      <rPr>
        <sz val="10"/>
        <rFont val="Arial"/>
        <family val="2"/>
      </rPr>
      <t>Estrategia de comunicación área Protegida (Fortalecer la estrategia de comunicación para el proceso de atención ante emergencias y urgencias en salud, que se oferta a través del servicio de área protegida (Propuesta de pieza informativa en tapiz de pantalla, avisos en áreas comunes)</t>
    </r>
  </si>
  <si>
    <r>
      <rPr>
        <b/>
        <sz val="11"/>
        <rFont val="Calibri"/>
        <family val="2"/>
        <scheme val="minor"/>
      </rPr>
      <t>Cerrado y permanente:</t>
    </r>
    <r>
      <rPr>
        <sz val="11"/>
        <rFont val="Calibri"/>
        <family val="2"/>
        <scheme val="minor"/>
      </rPr>
      <t xml:space="preserve"> Durante el primer semestre de 2022, la Coordinación de salud llevó a cabo la campaña de socialización de los servicios
brindados por el proveedor Red médica de área protegida, como estrategia de culturización de los usuarios administrativos y docentes, se elaboro un diseño de pieza publicitaria, la cual fue ubicada en los equipos de cómputo del personal administrativo y docente como protector de pantalla. Actividad que será permanente.
La estrategia con los estudiante fue la impresión del paso a paso y se ubicaron en sitios estratégicos en la universidad y en las carteleras de cada salón.</t>
    </r>
  </si>
  <si>
    <r>
      <t xml:space="preserve">ID19178 Promoción socioeconómica: </t>
    </r>
    <r>
      <rPr>
        <sz val="10"/>
        <rFont val="Arial"/>
        <family val="2"/>
      </rPr>
      <t>Proyecto Unimarket (Desarrollo y fortalecimiento de proyecto de Unimarket (capacitación en marketing, estrategias de ventas, entre otros) https://www.unilibre.edu.co/pereira/index.php/directorio-unimarket</t>
    </r>
  </si>
  <si>
    <r>
      <t xml:space="preserve">ID19180 Deportes y Salud: </t>
    </r>
    <r>
      <rPr>
        <sz val="10"/>
        <rFont val="Arial"/>
        <family val="2"/>
      </rPr>
      <t>Adecuación de escenarios de tenis de mesa y sala de lactancia (Adecuación y habilitación de un espacio en sede Belmonte para la ubicación de las mesas de tenis de mesa y sala de lactancia)</t>
    </r>
  </si>
  <si>
    <r>
      <t xml:space="preserve">ID19181 Egresados y Bolsa de empleo: </t>
    </r>
    <r>
      <rPr>
        <sz val="10"/>
        <rFont val="Arial"/>
        <family val="2"/>
      </rPr>
      <t>Capacitación de la bolsa de empleo (Capacitar a los funcionarios de todas las seccionales en el manejo de la bolsa de empleo que se tiene con la universidad Javeriana a nivel nacional (JOINUP)</t>
    </r>
  </si>
  <si>
    <r>
      <rPr>
        <b/>
        <sz val="10"/>
        <rFont val="Arial"/>
        <family val="2"/>
      </rPr>
      <t>Cerrado y permanente</t>
    </r>
    <r>
      <rPr>
        <sz val="10"/>
        <rFont val="Arial"/>
        <family val="2"/>
      </rPr>
      <t>:  Para este primer semestre del año 2022, se tomó la decisión de no realizar la capacitación con (JOINUP), sino con la plataforma "Talento Unilibrista" donde se han registrado 68 graduados . Se está logrando mejorar la cultura de vinculación tanto de postulantes como de empresas oferentes,  se continuará realizando de forma manual la intermediación laboral.  Durante 2022-1  se recibieron y difundieron a través de correo electrónico 70 vacantes de empresas solictantes.  
Se reciben las hojas de vida de los profesionales graduados de la Seccional,
Se observa un avance positivo con respecto al periodo anterior de egresados activos en la plataforma "Talento Unilibrista", se espera para el segundo periodo incrementar exponencialmete la vinculación tanto de postulantes como de empresas.</t>
    </r>
  </si>
  <si>
    <r>
      <rPr>
        <b/>
        <sz val="12"/>
        <rFont val="Arial"/>
        <family val="2"/>
      </rPr>
      <t xml:space="preserve">ID20142: </t>
    </r>
    <r>
      <rPr>
        <sz val="10"/>
        <rFont val="Arial"/>
        <family val="2"/>
      </rPr>
      <t>Mejorar el formato de seguimiento a los planes anuales de trabajo (PAT) incorporando más indicadores y gráficos (Obtener información, veráz, precisa, clara, unificando los criterios de información)</t>
    </r>
  </si>
  <si>
    <r>
      <rPr>
        <b/>
        <sz val="11"/>
        <rFont val="Calibri"/>
        <family val="2"/>
        <scheme val="minor"/>
      </rPr>
      <t xml:space="preserve">Cerrada y Permanente:  </t>
    </r>
    <r>
      <rPr>
        <sz val="11"/>
        <rFont val="Calibri"/>
        <family val="2"/>
        <scheme val="minor"/>
      </rPr>
      <t>Durante el primer semestre del 2022 se mejoró la herramienta de seguiento al PIDI y sus PAT 2022 y 2023 a través de la inclusión de hiper vínculos, tablas de seguiento porcentual y gráficos. Se integraron los indicadores de calidad y de aseguramiento de la calidad académica.</t>
    </r>
  </si>
  <si>
    <r>
      <rPr>
        <b/>
        <sz val="12"/>
        <rFont val="Arial"/>
        <family val="2"/>
      </rPr>
      <t xml:space="preserve">ID19770 Aseguramiento de la calidad Académica:: </t>
    </r>
    <r>
      <rPr>
        <sz val="10"/>
        <rFont val="Arial"/>
        <family val="2"/>
      </rPr>
      <t>Guía estudios de pertinencia  (Elaboración de guía y términos de referencia para los estudios de pertinencia y factibilidad que deben realizar los programas académicos)</t>
    </r>
  </si>
  <si>
    <r>
      <rPr>
        <b/>
        <sz val="12"/>
        <rFont val="Arial"/>
        <family val="2"/>
      </rPr>
      <t xml:space="preserve">ID19771 Aseguramiento de la calidad Académica:: </t>
    </r>
    <r>
      <rPr>
        <sz val="10"/>
        <rFont val="Arial"/>
        <family val="2"/>
      </rPr>
      <t>Interacción con la red de universidades para llevar propuesta sobre cómo abordar el impacto de la pandemia en la Educación superior de Colombia y América Latina (Mayor visibilidad de la Seccional frente al entorno)</t>
    </r>
  </si>
  <si>
    <r>
      <rPr>
        <b/>
        <sz val="12"/>
        <rFont val="Arial"/>
        <family val="2"/>
      </rPr>
      <t>ID19772 Aseguramiento de la calidad Académica:</t>
    </r>
    <r>
      <rPr>
        <sz val="10"/>
        <rFont val="Arial"/>
        <family val="2"/>
      </rPr>
      <t>: Elaborar propuesta metodológica de Saber Pro (Mejorar los resultados de las pruebas SABER PRO)</t>
    </r>
  </si>
  <si>
    <r>
      <rPr>
        <b/>
        <sz val="12"/>
        <rFont val="Arial"/>
        <family val="2"/>
      </rPr>
      <t xml:space="preserve">ID19766 Aseguramiento de la calidad Académica: </t>
    </r>
    <r>
      <rPr>
        <sz val="10"/>
        <rFont val="Arial"/>
        <family val="2"/>
      </rPr>
      <t>Rutas de innovación (Generar nuevas rutas de estrategias metodológicas y didácticas para que la institución aborde de manera asertiva los efectos de la pandemia)</t>
    </r>
  </si>
  <si>
    <r>
      <t xml:space="preserve">ID20863 Gestión Ambiental: </t>
    </r>
    <r>
      <rPr>
        <sz val="11"/>
        <rFont val="Arial"/>
        <family val="2"/>
      </rPr>
      <t xml:space="preserve">Alistamiento para Certificar la Universidad en la ISO14001:2015 </t>
    </r>
    <r>
      <rPr>
        <sz val="10"/>
        <rFont val="Arial"/>
        <family val="2"/>
      </rPr>
      <t>(Incluir las auditorías para Gestión ambiental con fines certificación bajo la norma ISO14001: 2015 en el marco de las auditorías internas de calidad)</t>
    </r>
  </si>
  <si>
    <r>
      <rPr>
        <b/>
        <sz val="12"/>
        <rFont val="Arial"/>
        <family val="2"/>
      </rPr>
      <t xml:space="preserve">ID 33272 Servicios Generales: </t>
    </r>
    <r>
      <rPr>
        <sz val="10"/>
        <rFont val="Arial"/>
        <family val="2"/>
      </rPr>
      <t>Proyección del plan de mantenimiento a 7 años, para cumplir con procesos de acreditación (Tener disponible una herramienta de planeación a largo plazo con el fin de hacer control y seguimiento)</t>
    </r>
  </si>
  <si>
    <r>
      <rPr>
        <b/>
        <sz val="11"/>
        <rFont val="Calibri"/>
        <family val="2"/>
        <scheme val="minor"/>
      </rPr>
      <t xml:space="preserve">Cerrado: </t>
    </r>
    <r>
      <rPr>
        <sz val="11"/>
        <rFont val="Calibri"/>
        <family val="2"/>
        <scheme val="minor"/>
      </rPr>
      <t>Se elaboró el plan de mantenimiento proyectado a 7 años, del cual se está ejecutando lo correspondiente a la vigencia 2022</t>
    </r>
  </si>
  <si>
    <r>
      <rPr>
        <b/>
        <sz val="12"/>
        <rFont val="Arial"/>
        <family val="2"/>
      </rPr>
      <t xml:space="preserve">ID20859 Gestión Ambiental: </t>
    </r>
    <r>
      <rPr>
        <sz val="10"/>
        <rFont val="Arial"/>
        <family val="2"/>
      </rPr>
      <t>Adecuación y puesta en marcha del programa de residuos de posconsumo en la seccional (Generar mayor visibilidad y conciencia de la importancia de la gestión ambiental)</t>
    </r>
  </si>
  <si>
    <r>
      <rPr>
        <b/>
        <sz val="12"/>
        <rFont val="Arial"/>
        <family val="2"/>
      </rPr>
      <t xml:space="preserve">ID20861 Gestión Ambiental: </t>
    </r>
    <r>
      <rPr>
        <sz val="10"/>
        <rFont val="Arial"/>
        <family val="2"/>
      </rPr>
      <t>Desarrollo del proyecto de compostaje para el aprovechamiento del material vegetal generado en la Universidad (Generación de abono natural para el aprovechamiento interno en los Jardines de la Universidad)</t>
    </r>
  </si>
  <si>
    <r>
      <rPr>
        <b/>
        <sz val="12"/>
        <rFont val="Arial"/>
        <family val="2"/>
      </rPr>
      <t xml:space="preserve">ID21718: </t>
    </r>
    <r>
      <rPr>
        <b/>
        <sz val="10"/>
        <rFont val="Arial"/>
        <family val="2"/>
      </rPr>
      <t>Control Previo</t>
    </r>
    <r>
      <rPr>
        <sz val="10"/>
        <rFont val="Arial"/>
        <family val="2"/>
      </rPr>
      <t xml:space="preserve"> (Proteger los intereses de la institución evitando deterioro del patrimonio)</t>
    </r>
  </si>
  <si>
    <r>
      <rPr>
        <b/>
        <sz val="10"/>
        <rFont val="Arial"/>
        <family val="2"/>
      </rPr>
      <t>Cerrado y permanente:</t>
    </r>
    <r>
      <rPr>
        <sz val="10"/>
        <rFont val="Arial"/>
        <family val="2"/>
      </rPr>
      <t xml:space="preserve">  La Auditoria Interna como organismo de control de acuerdo a revisiones de Control Previo y posterior, ha detectado hallazgos en algunos procesos, reglamentados con las siguientes normas: Normatividad vigente del pago de las incapacidades por enfermedad laboral y común, así: Art. 3 ley 776 de 2002, art. 227 C.S.T y art. 121 Decreto Ley 019 de 2012.
Según lo anterior que impacta en el deterioro patrimonial de la Universidad, se generaron informes y recomendaciones a Gestión Humana, lo cual contribuye al mejoramiento de los procesos en el cumplimiento de los requisitos legales y reglamentarios.
Se continua con el seguimiento a los hallazgos en algunos procesos, reglamentados con las siguientes normas: Normatividad vigente del pago de las incapacidades por enfermedad laboral y común, así: Art. 3 ley 776 de 2002, art. 227 C.S.T y art. 121 Decreto Ley 019 de 2012. Para el segundo semestre del 2022, se solciita a Gestión Humana la gestión realizada a las incapacidades pendientes a la fecha.</t>
    </r>
  </si>
  <si>
    <r>
      <rPr>
        <b/>
        <sz val="12"/>
        <rFont val="Arial"/>
        <family val="2"/>
      </rPr>
      <t>ID20259</t>
    </r>
    <r>
      <rPr>
        <sz val="12"/>
        <rFont val="Arial"/>
        <family val="2"/>
      </rPr>
      <t xml:space="preserve">: </t>
    </r>
    <r>
      <rPr>
        <sz val="10"/>
        <rFont val="Arial"/>
        <family val="2"/>
      </rPr>
      <t>Sensibilizar al personal sobre la importancia de la apropiación de los procedimientos de Gestión Documental
Impacto:
1. Que las áreas académicas y administrativas implementen el inventario de archivo de gestión ya que actualmente no todas las dependencias cuentan con inventario
2.  Minimizar la pérdida de la información en los archivos de gestión.
3. Disminuir los fondos acumulados en los archivos de gestión.(mayor organización de los archivos)</t>
    </r>
  </si>
  <si>
    <r>
      <rPr>
        <b/>
        <sz val="11"/>
        <rFont val="Arial"/>
        <family val="2"/>
      </rPr>
      <t xml:space="preserve">ID21434: </t>
    </r>
    <r>
      <rPr>
        <sz val="10"/>
        <rFont val="Arial"/>
        <family val="2"/>
      </rPr>
      <t>Cumplir con la Res. 042 de Mayo del 2019 DIAN (Derivado del proyecto de facturación electrónica Documento soporte en Adquisiciones y suministros en forma electrónica)</t>
    </r>
  </si>
  <si>
    <r>
      <rPr>
        <b/>
        <sz val="11"/>
        <rFont val="Calibri"/>
        <family val="2"/>
        <scheme val="minor"/>
      </rPr>
      <t>Cerrado y permanente</t>
    </r>
    <r>
      <rPr>
        <sz val="11"/>
        <rFont val="Calibri"/>
        <family val="2"/>
        <scheme val="minor"/>
      </rPr>
      <t xml:space="preserve">:   La Universidad salió a producción a partir del cierre del mes de Agosto del 2022, para lo cual se desarrollaron las siguientes actividades:
1. Definición del proveedor para contratar la plataforma de migración a la DIAN
2. Dar a conocer a los proveedores y contratistas el procedimiento que debía seguirse para atender la nueva normatividad
3. Solicitud de RUT a los proveedores y contratistas para poder cumplir con la norma que nos obliga a generar documento soporte electrónico a partir del mes de Agosto
4. Contabilidad actualizó y parametrizó la información recaudada en el sistema SEVEN con los lineamientos dados por la DIAN.
5. Reuniones entre todas las seccionales para definir los procedimientos a seguir
6. Reuniones para modificar lo procedimientos que afectan a la luz de esta reglamentación, las partidas por Caja menor
7. Elaboración de procedimiento seccional, para legalización de gastos de cja menor, como propuesta para estandarización a nivel nacional.
</t>
    </r>
  </si>
  <si>
    <r>
      <t xml:space="preserve">ID19631:  </t>
    </r>
    <r>
      <rPr>
        <sz val="10"/>
        <rFont val="Arial"/>
        <family val="2"/>
      </rPr>
      <t>Desarrollar internamente la mesa de ayuda para la solicitud de servicio que anteriormente se contrataba con helppeopel (Disminuir constos de licenciamiento de software
2. Ofrecer el servicio a otras dependencias a los líderes que sistemas recomiende el uso (Servicios generales, bienestar universitario))</t>
    </r>
  </si>
  <si>
    <r>
      <rPr>
        <b/>
        <sz val="11"/>
        <rFont val="Calibri"/>
        <family val="2"/>
        <scheme val="minor"/>
      </rPr>
      <t>Cerrado y permanente:</t>
    </r>
    <r>
      <rPr>
        <sz val="11"/>
        <rFont val="Calibri"/>
        <family val="2"/>
        <scheme val="minor"/>
      </rPr>
      <t xml:space="preserve"> Se tiene implementada la mesa de ayuda en la seccional durante el primer semestre de 2022 lo cual nos ha reducido costos, es muy fácil su uso y teniendo en cuenta que se hizo la capacitación al personal administrativo. Sirve de fuente para la medición de un indicador estándar de sistemas.</t>
    </r>
  </si>
  <si>
    <r>
      <t xml:space="preserve">ID19632: </t>
    </r>
    <r>
      <rPr>
        <sz val="10"/>
        <rFont val="Arial"/>
        <family val="2"/>
      </rPr>
      <t>Implementación de evaluación de desempeño a través del aplicativo KACTUS (1. Automatización de la evauación del desempeño.
2. Contribuir con la política de cero papel
3.Mejor gestión de la información)</t>
    </r>
  </si>
  <si>
    <r>
      <rPr>
        <b/>
        <sz val="11"/>
        <rFont val="Calibri"/>
        <family val="2"/>
        <scheme val="minor"/>
      </rPr>
      <t>Cerrado:</t>
    </r>
    <r>
      <rPr>
        <sz val="11"/>
        <rFont val="Calibri"/>
        <family val="2"/>
        <scheme val="minor"/>
      </rPr>
      <t xml:space="preserve"> Se hizo acompañamiento durante el primer semestre del año 2022 el área de sistemas a Gestión Humana en la implementación de la evaluación de desempeño correspondiente al año 2021. Conjuntamente con la directora de Gestión Humana se realizaron las capacitaciones a los líderes de proceso para realizar dicha evaluación.</t>
    </r>
  </si>
  <si>
    <r>
      <t xml:space="preserve">ID19633: </t>
    </r>
    <r>
      <rPr>
        <sz val="10"/>
        <rFont val="Arial"/>
        <family val="2"/>
      </rPr>
      <t>Mejoras en el licenciamiento de la suite ofimática (Mejorar los beneficios para administrativos, docentes, estudiantes y egresados)</t>
    </r>
  </si>
  <si>
    <r>
      <rPr>
        <b/>
        <sz val="11"/>
        <rFont val="Calibri"/>
        <family val="2"/>
        <scheme val="minor"/>
      </rPr>
      <t>Cerrado y permanente</t>
    </r>
    <r>
      <rPr>
        <sz val="11"/>
        <rFont val="Calibri"/>
        <family val="2"/>
        <scheme val="minor"/>
      </rPr>
      <t>: A través de Microsoft con el acuerdo que aplica a nivel nacional, van surgiendo mejoras que nos impactan positivamente como seccional (Mejoras en capacidad de los aplicativos en línea)</t>
    </r>
  </si>
  <si>
    <t>Normativo: 11
Procesos y/o Métodos de Trabajo.: 25
Tecnológico: 7
Recurso Humano: 0
Infraestructura, instalaciones y equipos: 5
Cambio en los servicios:1
Documental: 0</t>
  </si>
  <si>
    <t>UNIVERSIDAD LIBRE SECCIONAL PEREIRA
CONSOLIDADO RIESGOS Y OPORTUNIDADES  2022</t>
  </si>
  <si>
    <t>NOMBRE DEL RIESGO Y TRATAMIENTO</t>
  </si>
  <si>
    <t>Seguimiento Agosto de  2022</t>
  </si>
  <si>
    <r>
      <rPr>
        <b/>
        <sz val="10"/>
        <rFont val="Calibri"/>
        <family val="2"/>
        <scheme val="minor"/>
      </rPr>
      <t xml:space="preserve">Riesgo: </t>
    </r>
    <r>
      <rPr>
        <sz val="8"/>
        <rFont val="Calibri"/>
        <family val="2"/>
        <scheme val="minor"/>
      </rPr>
      <t xml:space="preserve">
Resistencia al cambio por parte de los procesos académicos en la implementación de rutas de innovación
</t>
    </r>
    <r>
      <rPr>
        <b/>
        <sz val="10"/>
        <rFont val="Calibri"/>
        <family val="2"/>
        <scheme val="minor"/>
      </rPr>
      <t xml:space="preserve">
Tratamiento: </t>
    </r>
    <r>
      <rPr>
        <sz val="8"/>
        <rFont val="Calibri"/>
        <family val="2"/>
        <scheme val="minor"/>
      </rPr>
      <t xml:space="preserve">
Sensibilización y capacitación permanente a los líderes de proceso</t>
    </r>
  </si>
  <si>
    <t>riesgo ID 491</t>
  </si>
  <si>
    <r>
      <rPr>
        <b/>
        <sz val="8"/>
        <rFont val="Calibri"/>
        <family val="2"/>
        <scheme val="minor"/>
      </rPr>
      <t>Riesgo:</t>
    </r>
    <r>
      <rPr>
        <sz val="8"/>
        <rFont val="Calibri"/>
        <family val="2"/>
        <scheme val="minor"/>
      </rPr>
      <t xml:space="preserve">  Que no se cuente con la suficiente cantidad de proveedores en la base de datos por tener demasiada exigencia en la documentación
</t>
    </r>
    <r>
      <rPr>
        <b/>
        <sz val="10"/>
        <rFont val="Calibri"/>
        <family val="2"/>
        <scheme val="minor"/>
      </rPr>
      <t xml:space="preserve">Oportunidad de mejora: </t>
    </r>
    <r>
      <rPr>
        <sz val="8"/>
        <rFont val="Calibri"/>
        <family val="2"/>
        <scheme val="minor"/>
      </rPr>
      <t>Acompañamiento permanente a la inscripción de proveedores</t>
    </r>
  </si>
  <si>
    <r>
      <t xml:space="preserve">Riesgo:  Insuficiencia de sitios de práctica para los estudiantes de los programas de la la Facultad: Enfermería, Microbiología y Nutrición y Dietética
</t>
    </r>
    <r>
      <rPr>
        <b/>
        <sz val="10"/>
        <rFont val="Calibri"/>
        <family val="2"/>
        <scheme val="minor"/>
      </rPr>
      <t>Tratamiento:</t>
    </r>
    <r>
      <rPr>
        <sz val="10"/>
        <rFont val="Calibri"/>
        <family val="2"/>
        <scheme val="minor"/>
      </rPr>
      <t xml:space="preserve">  Hacer indagaciones con el entorno para definir los sitios de práctica clinica que se desarrollará durante la vigencia actual</t>
    </r>
  </si>
  <si>
    <r>
      <rPr>
        <b/>
        <sz val="11"/>
        <rFont val="Calibri"/>
        <family val="2"/>
        <scheme val="minor"/>
      </rPr>
      <t>Cerrada y permanente</t>
    </r>
    <r>
      <rPr>
        <sz val="11"/>
        <rFont val="Calibri"/>
        <family val="2"/>
        <scheme val="minor"/>
      </rPr>
      <t>:  Se tienen 9 convenios para la relación docencia servicio que garantizan las prácticas formativas de los estudiantes</t>
    </r>
  </si>
  <si>
    <t>riesgo ID 376 (Identificado en el año 2021)</t>
  </si>
  <si>
    <r>
      <rPr>
        <b/>
        <sz val="10"/>
        <rFont val="Calibri"/>
        <family val="2"/>
        <scheme val="minor"/>
      </rPr>
      <t>Riesgo:</t>
    </r>
    <r>
      <rPr>
        <sz val="10"/>
        <rFont val="Calibri"/>
        <family val="2"/>
        <scheme val="minor"/>
      </rPr>
      <t xml:space="preserve"> No acreditación del laboratorio de investigación del programa de Microbiologíaen ISO 17025
</t>
    </r>
    <r>
      <rPr>
        <b/>
        <sz val="10"/>
        <rFont val="Calibri"/>
        <family val="2"/>
        <scheme val="minor"/>
      </rPr>
      <t>Tratamiento</t>
    </r>
    <r>
      <rPr>
        <sz val="10"/>
        <rFont val="Calibri"/>
        <family val="2"/>
        <scheme val="minor"/>
      </rPr>
      <t>: Seguimiento permanente a la ejecución de las actividades programadas para implementación de la norma</t>
    </r>
  </si>
  <si>
    <t>riesgo ID508</t>
  </si>
  <si>
    <r>
      <rPr>
        <b/>
        <sz val="9"/>
        <rFont val="Calibri"/>
        <family val="2"/>
        <scheme val="minor"/>
      </rPr>
      <t xml:space="preserve">Riesgo:  508:  </t>
    </r>
    <r>
      <rPr>
        <sz val="9"/>
        <rFont val="Calibri"/>
        <family val="2"/>
        <scheme val="minor"/>
      </rPr>
      <t xml:space="preserve">Demora en la titulación por modalidades de trabajo de grado (Demora en la titulación por modalidades de trabajo de grado Se presentan demoras en el proceso de gestión de las modalidades de trabajo de grado de los estudiantes de los programas de la facultad, generando dilación para la obtención del título.)  
</t>
    </r>
    <r>
      <rPr>
        <b/>
        <sz val="9"/>
        <rFont val="Calibri"/>
        <family val="2"/>
        <scheme val="minor"/>
      </rPr>
      <t xml:space="preserve">Tratamiento:  </t>
    </r>
    <r>
      <rPr>
        <sz val="9"/>
        <rFont val="Calibri"/>
        <family val="2"/>
        <scheme val="minor"/>
      </rPr>
      <t xml:space="preserve"> 
Ampliar la oferta semestral de las modalidades de grado a través de diplomados con opción de grado para los estudiantes de pregrado de la facultad, con una programación anual.</t>
    </r>
  </si>
  <si>
    <r>
      <rPr>
        <b/>
        <sz val="9"/>
        <rFont val="Calibri"/>
        <family val="2"/>
        <scheme val="minor"/>
      </rPr>
      <t xml:space="preserve">Riesgo: </t>
    </r>
    <r>
      <rPr>
        <sz val="9"/>
        <rFont val="Calibri"/>
        <family val="2"/>
        <scheme val="minor"/>
      </rPr>
      <t xml:space="preserve"> Dificultad para los procesos de enseñanza aprendizaje de los estudiantes por no disposición de herramientas tecnológicas que permitan la instalación de software especializado  
</t>
    </r>
    <r>
      <rPr>
        <b/>
        <sz val="9"/>
        <rFont val="Calibri"/>
        <family val="2"/>
        <scheme val="minor"/>
      </rPr>
      <t>Tratamiento:</t>
    </r>
    <r>
      <rPr>
        <sz val="9"/>
        <rFont val="Calibri"/>
        <family val="2"/>
        <scheme val="minor"/>
      </rPr>
      <t xml:space="preserve"> Control y seguimiento en la adquisición, instalación y puesta en marcha de los equipos de laboratorio</t>
    </r>
  </si>
  <si>
    <r>
      <rPr>
        <b/>
        <sz val="11"/>
        <rFont val="Calibri"/>
        <family val="2"/>
        <scheme val="minor"/>
      </rPr>
      <t xml:space="preserve">Cerrado: </t>
    </r>
    <r>
      <rPr>
        <sz val="11"/>
        <rFont val="Calibri"/>
        <family val="2"/>
        <scheme val="minor"/>
      </rPr>
      <t>Se realizó empotramiento de video beams en los laboratorios que lo requerían en el primer período de 2022-1  
A partir del mes de febrero de 2022, se inició trámite para la dotación tecnológica de los laboratorios de la Facultad de ingenierías y empotramiento de video beam</t>
    </r>
  </si>
  <si>
    <t>riesgo ID 471</t>
  </si>
  <si>
    <t>riesgo ID 485</t>
  </si>
  <si>
    <r>
      <rPr>
        <b/>
        <sz val="11"/>
        <rFont val="Calibri"/>
        <family val="2"/>
        <scheme val="minor"/>
      </rPr>
      <t xml:space="preserve">Riesgo:  </t>
    </r>
    <r>
      <rPr>
        <sz val="11"/>
        <rFont val="Calibri"/>
        <family val="2"/>
        <scheme val="minor"/>
      </rPr>
      <t>Que no se tenga centralizado la documentación de internacionalización actualizado permanentemente</t>
    </r>
    <r>
      <rPr>
        <b/>
        <sz val="11"/>
        <rFont val="Calibri"/>
        <family val="2"/>
        <scheme val="minor"/>
      </rPr>
      <t xml:space="preserve">
Tratamiento:</t>
    </r>
    <r>
      <rPr>
        <sz val="11"/>
        <rFont val="Calibri"/>
        <family val="2"/>
        <scheme val="minor"/>
      </rPr>
      <t xml:space="preserve">  Crear carpeta compartida desde la ORI para que los decanatos mantengan actualizada la información de movilidad en cada vigencia, al igual que la oficina de la ORI.</t>
    </r>
  </si>
  <si>
    <r>
      <rPr>
        <b/>
        <sz val="10"/>
        <rFont val="Calibri"/>
        <family val="2"/>
        <scheme val="minor"/>
      </rPr>
      <t xml:space="preserve">Cerrado y permanente: </t>
    </r>
    <r>
      <rPr>
        <sz val="10"/>
        <rFont val="Calibri"/>
        <family val="2"/>
        <scheme val="minor"/>
      </rPr>
      <t>Se creó carpetas compartidas con los informes de movilidad y datos estadísticos para los programas académicos, link que fue enviado a las Facultades para retroalimentación y mantenerlos informados  
16/09/2022 11:32 AM - Ángela María - Arias Toro - La información recolectada a la fecha es de gran valor para el proceso y el saber extraer los datos e interpretarlos se transforma en un insumo de gran valor para la administración académica y toma de decisiones. Más se debe continuar en un proceso de ordenamiento antes de pasar a ser una base de datos abierta (ej KAWAK / carpeta datos ORI,) ya que llevaría a dar pie a confusiones y/o interpretaciones erróneas.
Es necesario recalcar, la importancia de un sistema de información radica en la eficiencia en la correlación de una gran cantidad de datos ingresados a través de procesos diseñados para cada área con el objetivo de producir información válida para la posterior toma de decisiones. Este es el primer paso a seguir, es normalizar la recolección de datos, posteriormente pasar a pensar en la evaluación de herramienta informática que evite los reprocesos y lleve a mejorar la captura de datos.
Documento entregado a Iso Calidad - Calidad Académica , dir Planeación, Rector seccional, Presidencia seccional.</t>
    </r>
  </si>
  <si>
    <r>
      <rPr>
        <b/>
        <sz val="12"/>
        <rFont val="Calibri"/>
        <family val="2"/>
        <scheme val="minor"/>
      </rPr>
      <t>Riesgo</t>
    </r>
    <r>
      <rPr>
        <sz val="10"/>
        <rFont val="Calibri"/>
        <family val="2"/>
        <scheme val="minor"/>
      </rPr>
      <t xml:space="preserve">:  Afectación del plan de mejoramiento de investigaciones por cambios en la normatividad  
</t>
    </r>
    <r>
      <rPr>
        <b/>
        <sz val="11"/>
        <rFont val="Calibri"/>
        <family val="2"/>
        <scheme val="minor"/>
      </rPr>
      <t>Tratamiento</t>
    </r>
    <r>
      <rPr>
        <sz val="10"/>
        <rFont val="Calibri"/>
        <family val="2"/>
        <scheme val="minor"/>
      </rPr>
      <t>:  
Cambios en la normatividad interna o externa, que puede generar rezagos en la elaboración o implementación del plan</t>
    </r>
  </si>
  <si>
    <r>
      <rPr>
        <b/>
        <sz val="10"/>
        <rFont val="Calibri"/>
        <family val="2"/>
        <scheme val="minor"/>
      </rPr>
      <t xml:space="preserve">Riesgo: </t>
    </r>
    <r>
      <rPr>
        <sz val="10"/>
        <rFont val="Calibri"/>
        <family val="2"/>
        <scheme val="minor"/>
      </rPr>
      <t xml:space="preserve">Que los Comités institucionales de Proyección Social  no tengan  funcionalidad, que se pierda credibilidad y no generen impacto institucional  
</t>
    </r>
    <r>
      <rPr>
        <b/>
        <sz val="10"/>
        <rFont val="Calibri"/>
        <family val="2"/>
        <scheme val="minor"/>
      </rPr>
      <t>Tratamiento</t>
    </r>
    <r>
      <rPr>
        <sz val="10"/>
        <rFont val="Calibri"/>
        <family val="2"/>
        <scheme val="minor"/>
      </rPr>
      <t>: Realizar planeación, control, seguimiento y documentación de los Comités con el fin de generar valor para la institución</t>
    </r>
  </si>
  <si>
    <r>
      <rPr>
        <b/>
        <sz val="10"/>
        <rFont val="Calibri"/>
        <family val="2"/>
        <scheme val="minor"/>
      </rPr>
      <t>Riesgo</t>
    </r>
    <r>
      <rPr>
        <sz val="10"/>
        <rFont val="Calibri"/>
        <family val="2"/>
        <scheme val="minor"/>
      </rPr>
      <t xml:space="preserve">: Extemporaneidad en la entrega de la información de prácticas
</t>
    </r>
    <r>
      <rPr>
        <b/>
        <sz val="10"/>
        <rFont val="Calibri"/>
        <family val="2"/>
        <scheme val="minor"/>
      </rPr>
      <t>Tratamiento</t>
    </r>
    <r>
      <rPr>
        <sz val="10"/>
        <rFont val="Calibri"/>
        <family val="2"/>
        <scheme val="minor"/>
      </rPr>
      <t>: Divulgación y seguimiento permanente a las carpetas y al drive con el fin de monitorear la información pendiente de entrega por parte de los estudiantes y/o docentes.</t>
    </r>
  </si>
  <si>
    <r>
      <rPr>
        <b/>
        <sz val="11"/>
        <rFont val="Calibri"/>
        <family val="2"/>
        <scheme val="minor"/>
      </rPr>
      <t xml:space="preserve">Cerrada y permanente: </t>
    </r>
    <r>
      <rPr>
        <b/>
        <sz val="9"/>
        <rFont val="Calibri"/>
        <family val="2"/>
        <scheme val="minor"/>
      </rPr>
      <t xml:space="preserve"> </t>
    </r>
    <r>
      <rPr>
        <sz val="9"/>
        <rFont val="Calibri"/>
        <family val="2"/>
        <scheme val="minor"/>
      </rPr>
      <t xml:space="preserve">1/10/2022 04:41 PM - Carlos Alberto - Ardila Otero - Se divulgó y se hizo seguimiento permanente a las carpetas de los estudiantes practicantes en ONEDRIVE con el fin de monitorear la información entregada por parte de los estudiantes y/o docentes.
Se evidencia un buen comportamiento en la entrega oportuna de la información.  
04/08/2022 03:53 PM - Carlos Alberto - Ardila Otero - Para el segundo semestre del año se tienen elaboradas las carpetas de todos los practicantes, se subirán al OneDrive y se compartirá el link con cada uno de los docentes asesores de práctica.
Se envío al Sistema de Gestión de Calidad los listados de los estudiantes que harán sus prácticas durante el semestres 2022-2, al igual que los Docentes asesores de dichas prácticas; por lo anterior ya se asignaron los usuarios y contraseñas de la plataforma KAWAK y estamos a la espera de la capacitación correspondiente.  
06/05/2022 08:34 AM - Carlos Alberto - Ardila Otero - Se elaboró una carpeta con los estudiantes por cada grupo de practicantes, se clasificaron por: Programa, Tipo de Práctica, Docente asignado y Facultad.
Se notificó a todos los estudiantes practicantes mediante correos electrónicos institucionales, las obligaciones a las que deben responder para el desarrollo normal de sus prácticas; se les capacitó en el uso y diligenciamiento de los formatos y se les enviaron a los correos electrónicos.
Se elaboro en excel una matriz de seguimiento de cada uno de los grupos de prácticas y se revisa diariamente el correo electrónico con el fin de descargar y actualizar la información de cada uno de los estudiantes.
Se envía copia de esta información a cada docente para su verificación y coherencia con la labor que les corresponde a ellos frente al seguimiento de sus alumnos.
Se adjunto archivo resumen entregado a la Rectoría, éste esta actualizado permanentemente. </t>
    </r>
  </si>
  <si>
    <t>riesgo ID 483
Centro de conciliación CJ</t>
  </si>
  <si>
    <r>
      <rPr>
        <b/>
        <sz val="10"/>
        <rFont val="Calibri"/>
        <family val="2"/>
        <scheme val="minor"/>
      </rPr>
      <t>Riesgo</t>
    </r>
    <r>
      <rPr>
        <sz val="10"/>
        <rFont val="Calibri"/>
        <family val="2"/>
        <scheme val="minor"/>
      </rPr>
      <t xml:space="preserve">: Que no se obtenga la certificación del centro de conciliación del consultorio jurídico bajo la norma NTC5906 de 2012
</t>
    </r>
    <r>
      <rPr>
        <b/>
        <sz val="10"/>
        <rFont val="Calibri"/>
        <family val="2"/>
        <scheme val="minor"/>
      </rPr>
      <t>Tratamiento</t>
    </r>
    <r>
      <rPr>
        <sz val="10"/>
        <rFont val="Calibri"/>
        <family val="2"/>
        <scheme val="minor"/>
      </rPr>
      <t>: Actualizar la información acorde con los requisitos de la norma NTC5906 de 2012 Minjusticia</t>
    </r>
  </si>
  <si>
    <r>
      <rPr>
        <b/>
        <sz val="11"/>
        <color rgb="FFFF0000"/>
        <rFont val="Calibri"/>
        <family val="2"/>
        <scheme val="minor"/>
      </rPr>
      <t>En proceso (65%)</t>
    </r>
    <r>
      <rPr>
        <sz val="11"/>
        <rFont val="Calibri"/>
        <family val="2"/>
        <scheme val="minor"/>
      </rPr>
      <t>:  A partir del mes de marzo se retomaron las reuniones con la Coordinación de calidad (viernes en la mañana) para hacer nuevamente revisión de la norma NTC5906 con el fin de actualizar la documentación e identificar nuevas prácticas para la mejora continua.</t>
    </r>
  </si>
  <si>
    <t>riesgo ID 463</t>
  </si>
  <si>
    <t>GESTIÓN DE AUDITORIA INTERNA</t>
  </si>
  <si>
    <t>riesgo ID 494</t>
  </si>
  <si>
    <t>Riesgo;  Que no queden causados correctamente los impuestos en el documento soporte
Tratamiento:  Verificación previa por parte de auditoria</t>
  </si>
  <si>
    <r>
      <rPr>
        <b/>
        <sz val="11"/>
        <rFont val="Calibri"/>
        <family val="2"/>
        <scheme val="minor"/>
      </rPr>
      <t>Cerrado y Permanente</t>
    </r>
    <r>
      <rPr>
        <sz val="11"/>
        <rFont val="Calibri"/>
        <family val="2"/>
        <scheme val="minor"/>
      </rPr>
      <t>: Se esta realizando diariamente la digitación de los soportes en el proceso de gestión financiera y posteriromente auditoria realiza la verificación antes de aplicarlo a la Dian. Lo cual ha permitido minimizar el riesgo de cometer errrores frente al registro en la Dian.</t>
    </r>
  </si>
  <si>
    <r>
      <t xml:space="preserve">Riesgo:  Pérdida de información por no tener el archivo de gestión al 100% organizado 
</t>
    </r>
    <r>
      <rPr>
        <b/>
        <sz val="9"/>
        <rFont val="Calibri"/>
        <family val="2"/>
        <scheme val="minor"/>
      </rPr>
      <t>Tratamiento</t>
    </r>
    <r>
      <rPr>
        <sz val="9"/>
        <rFont val="Calibri"/>
        <family val="2"/>
        <scheme val="minor"/>
      </rPr>
      <t>: Sensibilización y capacitación permanente a todas las áreas académicas y administrativas</t>
    </r>
  </si>
  <si>
    <t>riesgo ID 503</t>
  </si>
  <si>
    <r>
      <rPr>
        <b/>
        <sz val="11"/>
        <rFont val="Calibri"/>
        <family val="2"/>
        <scheme val="minor"/>
      </rPr>
      <t xml:space="preserve">Riesgo: </t>
    </r>
    <r>
      <rPr>
        <sz val="11"/>
        <rFont val="Calibri"/>
        <family val="2"/>
        <scheme val="minor"/>
      </rPr>
      <t xml:space="preserve"> Rechazo de la DIAN por no tener el RUT actualizado de proveedores y contratistas
 </t>
    </r>
    <r>
      <rPr>
        <b/>
        <sz val="11"/>
        <rFont val="Calibri"/>
        <family val="2"/>
        <scheme val="minor"/>
      </rPr>
      <t>Tratamiento</t>
    </r>
    <r>
      <rPr>
        <sz val="11"/>
        <rFont val="Calibri"/>
        <family val="2"/>
        <scheme val="minor"/>
      </rPr>
      <t>:  Evitar rechazos de la DIAN:  Asegurarse de contar con el RUT actualizado de proveedores y contratistas</t>
    </r>
  </si>
  <si>
    <r>
      <rPr>
        <b/>
        <sz val="10"/>
        <rFont val="Calibri"/>
        <family val="2"/>
        <scheme val="minor"/>
      </rPr>
      <t>Riesgo</t>
    </r>
    <r>
      <rPr>
        <sz val="10"/>
        <rFont val="Calibri"/>
        <family val="2"/>
        <scheme val="minor"/>
      </rPr>
      <t xml:space="preserve">:  No brindar asesoría a algún funcionario, que por su condición particular (edad régimen pensional, IBC) lo requiera
</t>
    </r>
    <r>
      <rPr>
        <b/>
        <sz val="10"/>
        <rFont val="Calibri"/>
        <family val="2"/>
        <scheme val="minor"/>
      </rPr>
      <t>Tratamiento</t>
    </r>
    <r>
      <rPr>
        <sz val="10"/>
        <rFont val="Calibri"/>
        <family val="2"/>
        <scheme val="minor"/>
      </rPr>
      <t>:  Mantener actualizada la base de datos de los funcionarios que les falte 10 años o más para pensionarse</t>
    </r>
  </si>
  <si>
    <r>
      <rPr>
        <b/>
        <sz val="11"/>
        <rFont val="Calibri"/>
        <family val="2"/>
        <scheme val="minor"/>
      </rPr>
      <t>Cerrado:</t>
    </r>
    <r>
      <rPr>
        <sz val="11"/>
        <rFont val="Calibri"/>
        <family val="2"/>
        <scheme val="minor"/>
      </rPr>
      <t xml:space="preserve"> Desde el proceso de Gestión de informática se hizo todo el acompañamiento a la Jefetura de personal en la implementación y aplicación de la evaluación del desempeño por el aplicativo kactus, reposando los resultados en el aplicativo y en gestión humana</t>
    </r>
  </si>
  <si>
    <r>
      <rPr>
        <b/>
        <sz val="10"/>
        <rFont val="Calibri"/>
        <family val="2"/>
        <scheme val="minor"/>
      </rPr>
      <t>Riesgo</t>
    </r>
    <r>
      <rPr>
        <sz val="10"/>
        <rFont val="Calibri"/>
        <family val="2"/>
        <scheme val="minor"/>
      </rPr>
      <t>: Caída de la Interfaz entre SINU/SEVEN
Tratamiento: Reporte de la información oportuna a la Sede Principal de las alertas que genera el sistema por fallas de la interfaz</t>
    </r>
  </si>
  <si>
    <r>
      <rPr>
        <b/>
        <sz val="11"/>
        <rFont val="Calibri"/>
        <family val="2"/>
        <scheme val="minor"/>
      </rPr>
      <t>Cerrrada y permanente</t>
    </r>
    <r>
      <rPr>
        <sz val="11"/>
        <rFont val="Calibri"/>
        <family val="2"/>
        <scheme val="minor"/>
      </rPr>
      <t>:  Se envían correos a la sede principal sobre problemas que se presenta en la plataforma académica</t>
    </r>
  </si>
  <si>
    <t>GESTION DE SERVICIOS GENERALES</t>
  </si>
  <si>
    <t>riesgo ID 492</t>
  </si>
  <si>
    <r>
      <rPr>
        <b/>
        <sz val="11"/>
        <rFont val="Calibri"/>
        <family val="2"/>
        <scheme val="minor"/>
      </rPr>
      <t xml:space="preserve">Riesgo:  </t>
    </r>
    <r>
      <rPr>
        <sz val="11"/>
        <rFont val="Calibri"/>
        <family val="2"/>
        <scheme val="minor"/>
      </rPr>
      <t xml:space="preserve">Perdida de elementos Propiedad de la Universidad y comunidad Unilibrista al interior de la Universidad 
</t>
    </r>
    <r>
      <rPr>
        <b/>
        <sz val="11"/>
        <rFont val="Calibri"/>
        <family val="2"/>
        <scheme val="minor"/>
      </rPr>
      <t>Tratamiento:</t>
    </r>
    <r>
      <rPr>
        <sz val="11"/>
        <rFont val="Calibri"/>
        <family val="2"/>
        <scheme val="minor"/>
      </rPr>
      <t xml:space="preserve">  Fortalecer con medios tecnológicos los puntos con más vulnerabilidad.incrementar la instalación de sistemas de alarma. Crecimiento del CCTV</t>
    </r>
  </si>
  <si>
    <r>
      <rPr>
        <b/>
        <sz val="11"/>
        <rFont val="Calibri"/>
        <family val="2"/>
        <scheme val="minor"/>
      </rPr>
      <t>Cerrado</t>
    </r>
    <r>
      <rPr>
        <sz val="11"/>
        <rFont val="Calibri"/>
        <family val="2"/>
        <scheme val="minor"/>
      </rPr>
      <t>:   se realiza la instalación de 4 cámaras CCTV en consultorio jurídico y empresarial en edificio comité de cafeteros. estas cámaras se conectaron a la central de monitoreo en Belmonte y quedaron funcionando en el mes de septiembre 2022.</t>
    </r>
  </si>
  <si>
    <r>
      <rPr>
        <b/>
        <sz val="8"/>
        <rFont val="Calibri"/>
        <family val="2"/>
        <scheme val="minor"/>
      </rPr>
      <t>Cerrada y permanente</t>
    </r>
    <r>
      <rPr>
        <sz val="8"/>
        <rFont val="Calibri"/>
        <family val="2"/>
        <scheme val="minor"/>
      </rPr>
      <t>:  Desde la Dirección de Planeación Seccional se han realizado reuniones con la sede principal con el fin de mejorar el proceso de seguimiento al PIDI, donde la Seccional hizo una mejora al formato de seguimiento, alineando los indicadores de aseguramiento de la calidad académica con el SGC y PIDI, buscando mayor eficiencia en la calidad de la  información  y resultado de  indicadores, lo anterior fue socializado con la sede principal.</t>
    </r>
  </si>
  <si>
    <t>PETICIONES, QUEJAS, RECLAMOS, SOLICITUDES O SUGERENCIAS (PQRSD) SECCIONAL PEREIRA</t>
  </si>
  <si>
    <t>PQRSD POR USUARIO</t>
  </si>
  <si>
    <t>PQRSD</t>
  </si>
  <si>
    <t>Total PQRSD</t>
  </si>
  <si>
    <t xml:space="preserve"> </t>
  </si>
  <si>
    <r>
      <rPr>
        <b/>
        <sz val="10"/>
        <rFont val="Arial"/>
        <family val="2"/>
      </rPr>
      <t xml:space="preserve">GESTIÓN DE ADMISIONES Y REGISTROS
</t>
    </r>
    <r>
      <rPr>
        <sz val="8"/>
        <rFont val="Arial"/>
        <family val="2"/>
      </rPr>
      <t xml:space="preserve">• Queja por Inconveniente de inscripción
• Queja por Demora en la entrega o envió de contenidos de materias solicitados
• Solicitud información Verificación de título
* Solicitud de información para solicitar  siguientes documentos que requiere por tramite que debo realizar para viaje al extranjero
* Solicitud de validación de acta de grado  Especialista en salud ocupacional, gerencia y control de riesgos
* Mi inscripción no deja culminarla especialización en derecho procesal </t>
    </r>
    <r>
      <rPr>
        <b/>
        <sz val="10"/>
        <rFont val="Arial"/>
        <family val="2"/>
      </rPr>
      <t xml:space="preserve">
GESTIÓN DE SERVICIOS GENERALES
</t>
    </r>
    <r>
      <rPr>
        <sz val="8"/>
        <rFont val="Arial"/>
        <family val="2"/>
      </rPr>
      <t>*  Queja por falta de techo peatonal sede Belmonte
*  Mantenimiento por goteo en salón 301 de posgrados
*  Solicitud de mesa de bebidas en aula de postgrado Alta Gerencia
* Petición instalación techo: Adecuar el camino desde la portería de Belmonte hasta el bloque de laboratorio</t>
    </r>
    <r>
      <rPr>
        <sz val="10"/>
        <rFont val="Arial"/>
        <family val="2"/>
      </rPr>
      <t xml:space="preserve">
</t>
    </r>
    <r>
      <rPr>
        <b/>
        <sz val="10"/>
        <rFont val="Arial"/>
        <family val="2"/>
      </rPr>
      <t xml:space="preserve">
INVESTIGACIONES
</t>
    </r>
    <r>
      <rPr>
        <b/>
        <sz val="8"/>
        <rFont val="Arial"/>
        <family val="2"/>
      </rPr>
      <t xml:space="preserve">* </t>
    </r>
    <r>
      <rPr>
        <sz val="8"/>
        <rFont val="Arial"/>
        <family val="2"/>
      </rPr>
      <t>Solicitud de Investigación y propuesta de Proyecto de Ley:  Pérdida de bienes raíces a causa de la violencia armada y las guerras
* Derecho de petición: Solicitud información frente a la convocatoria joven investigador</t>
    </r>
    <r>
      <rPr>
        <b/>
        <sz val="10"/>
        <rFont val="Arial"/>
        <family val="2"/>
      </rPr>
      <t xml:space="preserve">
DIRECCIÓN ESTRATÉGICA</t>
    </r>
    <r>
      <rPr>
        <sz val="10"/>
        <rFont val="Arial"/>
        <family val="2"/>
      </rPr>
      <t xml:space="preserve">
</t>
    </r>
    <r>
      <rPr>
        <sz val="8"/>
        <rFont val="Arial"/>
        <family val="2"/>
      </rPr>
      <t>* 1. D.P. Solicitud de información sobre costo de servicios contratados
*  Invitación al “1er foro DIVERSIDAD como motor del desarrollo turístico de la región"
* Devolución de Dinero de matricula para ingresar a Administración de empresas</t>
    </r>
    <r>
      <rPr>
        <sz val="10"/>
        <rFont val="Arial"/>
        <family val="2"/>
      </rPr>
      <t xml:space="preserve">
</t>
    </r>
    <r>
      <rPr>
        <b/>
        <sz val="10"/>
        <rFont val="Arial"/>
        <family val="2"/>
      </rPr>
      <t>GESTIÓN HUMANA</t>
    </r>
    <r>
      <rPr>
        <sz val="10"/>
        <rFont val="Arial"/>
        <family val="2"/>
      </rPr>
      <t xml:space="preserve">
</t>
    </r>
    <r>
      <rPr>
        <sz val="8"/>
        <rFont val="Arial"/>
        <family val="2"/>
      </rPr>
      <t xml:space="preserve">1. D.P. Solicitud copia de expediente (Enviado por correo electrónico)
2. D.P. Solicitud de certificación electrónicos de tiempos laborados (Enviado por correo electrónico)
3. Derecho de petición semanas aportadas al sistema pensional
4. D. Petición :  Solicitud entrega de documentos del Dr. Edardo Humberto Sanz Gutiérrez para proceso investigativo
</t>
    </r>
    <r>
      <rPr>
        <b/>
        <sz val="8"/>
        <rFont val="Arial"/>
        <family val="2"/>
      </rPr>
      <t xml:space="preserve">
</t>
    </r>
    <r>
      <rPr>
        <b/>
        <sz val="10"/>
        <rFont val="Arial"/>
        <family val="2"/>
      </rPr>
      <t>GESTIÓN DE INFORMÁTICA</t>
    </r>
    <r>
      <rPr>
        <sz val="8"/>
        <rFont val="Arial"/>
        <family val="2"/>
      </rPr>
      <t xml:space="preserve">
1. Queja por no alistamiento de equipo y demora en el inicio del portátil
2. Queja por correos peligrosos
3. Solicitud de ayuda problemas de autenticación correo institucional
</t>
    </r>
    <r>
      <rPr>
        <b/>
        <sz val="10"/>
        <rFont val="Arial"/>
        <family val="2"/>
      </rPr>
      <t xml:space="preserve">
PROYECCIÓN SOCIAL</t>
    </r>
    <r>
      <rPr>
        <sz val="8"/>
        <rFont val="Arial"/>
        <family val="2"/>
      </rPr>
      <t xml:space="preserve">
</t>
    </r>
    <r>
      <rPr>
        <b/>
        <sz val="8"/>
        <rFont val="Arial"/>
        <family val="2"/>
      </rPr>
      <t>* Consultorio Jurídico y centro de conciliación</t>
    </r>
    <r>
      <rPr>
        <sz val="8"/>
        <rFont val="Arial"/>
        <family val="2"/>
      </rPr>
      <t xml:space="preserve">
1. Solicitud de asesoría jurídica y psicológica
2. Necesito me recomiende un Abogado Penalista. He sido estafada mediante Tarjeta de Crédito.</t>
    </r>
  </si>
  <si>
    <r>
      <rPr>
        <b/>
        <sz val="10"/>
        <rFont val="Arial"/>
        <family val="2"/>
      </rPr>
      <t>BIENESTAR UNIVERSITARIO</t>
    </r>
    <r>
      <rPr>
        <sz val="10"/>
        <rFont val="Arial"/>
        <family val="2"/>
      </rPr>
      <t xml:space="preserve">
</t>
    </r>
    <r>
      <rPr>
        <sz val="8"/>
        <rFont val="Arial"/>
        <family val="2"/>
      </rPr>
      <t>1. Solicitud información Proyecto Circulo virtuoso (Bolsa de empleo)
2. D.P.  para modificación horario o extender del gimnasio (Enfermería)
3. D.P.  para modificación horario o extender del gimnasio (Ing Civil)
4. D.P.  para modificación horario o extender del gimnasio (Ing Comercial)
5. D.P.  para modificación horario o extender del gimnasio (Ing Civil)
6. D.P.  para modificación horario o extender del gimnasio (Ing Civil)
7. D.P.  para modificación horario o extender del gimnasio (Ing Civil)
8. D.P.  para modificación horario o extender del gimnasio (Derecho)
9. D.P.  para modificación horario o extender del gimnasio (Ing Civil)
10. D.P.  para modificación horario o extender del gimnasio (Ing Civil)
11. D.P.  para modificación horario o extender del gimnasio (Ing Civil)
12. D.P.  para modificación horario o extender del gimnasio (Ing Civil)
13. Derecho de petición para modificación horario o extender del gimnasio (Ing Civil)
14. D.P.  para modificación horario o extender del gimnasio (Ing Civil)
15. D.P.  para modificación horario o extender del gimnasio (Ing Civil)
16. Requerimiento Ampliación de horario del gimnasio -  Facultad de Ciencias económicas, administrativas y contables
17. * Sugerencia acciones de mejora: Cafeteria, baños, parqueadero
18  Queja y Solicitud habilitación de Cafetería edificios posgrados - Especialización en Derecho Procesal
19. Precios altos  de la Cafetería - Estudiante de Ing. Comercial
20. Solicitud Cafetería  en posgrados - Especialización Laboral , Pensiones y Riesgos</t>
    </r>
  </si>
  <si>
    <t>PS -Consultorio Empresarial (CEIDEUL) -Prácicas</t>
  </si>
  <si>
    <t>PS -Consultorio Empresarial (CEIDEUL) -Emprendimiento</t>
  </si>
  <si>
    <t>2.178 calif. SS</t>
  </si>
  <si>
    <t>Eficacia del SGC</t>
  </si>
  <si>
    <r>
      <t xml:space="preserve">GESTION FINANCIERA
</t>
    </r>
    <r>
      <rPr>
        <sz val="8"/>
        <rFont val="Arial"/>
        <family val="2"/>
      </rPr>
      <t>(Sede Centro y Belmonte)</t>
    </r>
  </si>
  <si>
    <t>Id 389. Gestión de Programas Académicos - Registros Calificados Seccional Pereira</t>
  </si>
  <si>
    <t>Id 67. Evaluación Docente de la Facultad Ccias de la salud, Exactas y Naturales</t>
  </si>
  <si>
    <t>Id 64. Evaluación Docente de la Facultad Ccias Económicas, administrativas y contables</t>
  </si>
  <si>
    <t>Id 66. Evaluación Docente de la Facultad  Derecho Ccias Políticas y sociales</t>
  </si>
  <si>
    <t>Id 65.  Evaluación Docente de la Facultad de Ingenierías</t>
  </si>
  <si>
    <t>ID 355: Incidentes atendidos a los equipos de computo al servicio de docentes y estudiantes (Acuerdo) 2</t>
  </si>
  <si>
    <r>
      <rPr>
        <b/>
        <sz val="12"/>
        <rFont val="Arial"/>
        <family val="2"/>
      </rPr>
      <t xml:space="preserve">ID395 </t>
    </r>
    <r>
      <rPr>
        <sz val="12"/>
        <rFont val="Arial"/>
        <family val="2"/>
      </rPr>
      <t>Programas Acreditados</t>
    </r>
  </si>
  <si>
    <r>
      <rPr>
        <b/>
        <sz val="12"/>
        <rFont val="Arial"/>
        <family val="2"/>
      </rPr>
      <t xml:space="preserve">ID389 </t>
    </r>
    <r>
      <rPr>
        <sz val="12"/>
        <rFont val="Arial"/>
        <family val="2"/>
      </rPr>
      <t>Porcentaje de Programas que obtienen Registro Calificado</t>
    </r>
  </si>
  <si>
    <r>
      <rPr>
        <b/>
        <sz val="12"/>
        <rFont val="Arial"/>
        <family val="2"/>
      </rPr>
      <t>ID 32</t>
    </r>
    <r>
      <rPr>
        <sz val="12"/>
        <rFont val="Arial"/>
        <family val="2"/>
      </rPr>
      <t xml:space="preserve">  Movilidad docente</t>
    </r>
  </si>
  <si>
    <r>
      <rPr>
        <b/>
        <sz val="12"/>
        <rFont val="Arial"/>
        <family val="2"/>
      </rPr>
      <t>ID 33</t>
    </r>
    <r>
      <rPr>
        <sz val="12"/>
        <rFont val="Arial"/>
        <family val="2"/>
      </rPr>
      <t>. Movilidad Estudiantil</t>
    </r>
  </si>
  <si>
    <t>#</t>
  </si>
  <si>
    <t>Resultado 2022</t>
  </si>
  <si>
    <t>SEGUIMIENTO
Agosto - Septiembre - Diciembre de 2022</t>
  </si>
  <si>
    <r>
      <rPr>
        <b/>
        <sz val="11"/>
        <rFont val="Calibri"/>
        <family val="2"/>
        <scheme val="minor"/>
      </rPr>
      <t xml:space="preserve">Cerrado y permanente: </t>
    </r>
    <r>
      <rPr>
        <sz val="11"/>
        <rFont val="Calibri"/>
        <family val="2"/>
        <scheme val="minor"/>
      </rPr>
      <t>Se realizo la propuesta.  Se socializo con los integrantes (Decanos - Lideres de Proceso - Rectoria - Planeación - ACA) en el marco del comite academico administrativo la propuesta, se acogio y se establecio como primera  actividad  la caracterización de los estudiantes que no se matricularon financieramente, información que fue presentada por la Directora de Bienestar Universitario.
Desde aseguramiento de la calidad académica, se presentó una iniciativa al Comité académico administrativo de traducir, analizar y crear un documento con el material enviado por la sede principal sobre el resultado de la reunión mundial sobre educación liderado por la UNESCO
Se elaboró un procedimiento seccional prevención de abandono, el cual fue  presentado a los involucrados para revisión y ajuste y actualmente se tiene disponible en el punto de consulta Seccional</t>
    </r>
  </si>
  <si>
    <r>
      <rPr>
        <b/>
        <sz val="11"/>
        <color rgb="FFFF0000"/>
        <rFont val="Calibri"/>
        <family val="2"/>
        <scheme val="minor"/>
      </rPr>
      <t xml:space="preserve">En Proceso (60%):  </t>
    </r>
    <r>
      <rPr>
        <sz val="11"/>
        <rFont val="Calibri"/>
        <family val="2"/>
        <scheme val="minor"/>
      </rPr>
      <t xml:space="preserve">Este riesgo se identificó en el año 2021 y continúa para el año 2022, donde se tienen los siguientes avances:  </t>
    </r>
    <r>
      <rPr>
        <b/>
        <sz val="11"/>
        <color rgb="FFFF0000"/>
        <rFont val="Calibri"/>
        <family val="2"/>
        <scheme val="minor"/>
      </rPr>
      <t xml:space="preserve">
</t>
    </r>
    <r>
      <rPr>
        <sz val="11"/>
        <rFont val="Calibri"/>
        <family val="2"/>
        <scheme val="minor"/>
      </rPr>
      <t>30/11/2022 11:30 AM - Maria Teresa - Rodriguez Lugo - Durante esta vigencia se surtieron dos de las etapas necesarias para la implementación de la norma con fines de acreditación, como son: documentación y socialización y capacitación.
Para el próximo año, 2023 se tiene proyectado iniciar la evaluación externa del desempeño de las pruebas a acreditar.  
25/08/2022 10:42 AM - Maria Teresa - Rodriguez Lugo - Se conformó un grupo de trabajo para actualizar la información que solicita la norma. El siguiente paso es implementar la venta de servicios de análisis de pruebas y otros afines y para ello se solicitó la adecuación de un espacio que cumpla con las características que se requieran.  
23/05/2022 04:45 PM - Maria Teresa - Rodriguez Lugo - Se tiene la documentación acorde con la norma ISO 17025, pendiente de capacitación, socialización e implementación por parte del personal competente</t>
    </r>
  </si>
  <si>
    <r>
      <rPr>
        <b/>
        <sz val="11"/>
        <rFont val="Calibri"/>
        <family val="2"/>
        <scheme val="minor"/>
      </rPr>
      <t>Cerrado y permanente:</t>
    </r>
    <r>
      <rPr>
        <sz val="11"/>
        <rFont val="Calibri"/>
        <family val="2"/>
        <scheme val="minor"/>
      </rPr>
      <t xml:space="preserve"> 07/12/2022 09:31 AM - Luisa Fernanda - Hurtado Castrillon - La Rectoría seccional aprobó la realización de Diplomados con opción de grado, con el fin de ampliar la oferta de modalidades a través del mecanismo de Diplomado con la posibilidad de presentar un artículo de reflexión. Se programó para ejecutar a 2023, el Diplomado de Conciliación en Derecho con opción de grado.  
13/10/2022 09:16 AM - Luisa Fernanda - Hurtado Castrillon - Se esta proyectando un Diplomado con opción de grado en Concilaición en Derecho para oferta en el primer trimestre del 2023 y la progamación de temáticas de diplomados a ofertar para el resto del año.</t>
    </r>
  </si>
  <si>
    <r>
      <rPr>
        <b/>
        <sz val="11"/>
        <rFont val="Calibri"/>
        <family val="2"/>
        <scheme val="minor"/>
      </rPr>
      <t>Cerrado  y permanente:</t>
    </r>
    <r>
      <rPr>
        <sz val="11"/>
        <rFont val="Calibri"/>
        <family val="2"/>
        <scheme val="minor"/>
      </rPr>
      <t xml:space="preserve">  A partir del segundo semestre de 2022, al estudiante   se le entrega oportunamente la certificación de la acreditación en inglés B1 para su grado.  Alineándose así el procedimiento de la Facultad con el CLEUL para dar respuesta a las formas de acreditación del inglés por parte de los estudiantes.  procedimiento al cual se le está haciendo seguimiento para la orientación y debido cumplimiento.
</t>
    </r>
  </si>
  <si>
    <r>
      <rPr>
        <b/>
        <sz val="11"/>
        <rFont val="Calibri"/>
        <family val="2"/>
        <scheme val="minor"/>
      </rPr>
      <t>Cerrado y permanente</t>
    </r>
    <r>
      <rPr>
        <sz val="11"/>
        <rFont val="Calibri"/>
        <family val="2"/>
        <scheme val="minor"/>
      </rPr>
      <t xml:space="preserve">:  14/12/2022 11:50 AM - Luis Alfonso - Sandoval Perdomo - Se realizó seguimiento a los procesos de investigación y sus 24 actividades que hacen parte de los proyectos 11 y 12 del PIDI, con un índice de cumplimiento del 98%, que contiene el plan de mejora.  
26/07/2022 03:58 PM - Luis Alfonso - Sandoval Perdomo - A través del informe semestral del PIDI (PAT) se realiza seguimiento al plan de mejoramiento,  
02/06/2022 03:53 PM - Luis Alfonso - Sandoval Perdomo - Se socializó el plan de mejoramiento del proceso de investigación de acuerdo a las recomendaciones del CNA.  
</t>
    </r>
  </si>
  <si>
    <r>
      <rPr>
        <b/>
        <sz val="11"/>
        <rFont val="Calibri"/>
        <family val="2"/>
        <scheme val="minor"/>
      </rPr>
      <t xml:space="preserve">Cerrado y permanente: </t>
    </r>
    <r>
      <rPr>
        <sz val="11"/>
        <rFont val="Calibri"/>
        <family val="2"/>
        <scheme val="minor"/>
      </rPr>
      <t xml:space="preserve"> Se llevaron a cabo 13 Comités institucionales de Proyección Social en las Facultades y Seccional durante la vigencia 2022. Han sido funcionales ya que contribuyen al control y seguimiento de la ejecución de actividades desde los programas y se ha logrado visibilidad y credibilidad por parte de los asistentes ya que generan gran impacto institucional</t>
    </r>
  </si>
  <si>
    <r>
      <rPr>
        <b/>
        <sz val="11"/>
        <rFont val="Calibri"/>
        <family val="2"/>
        <scheme val="minor"/>
      </rPr>
      <t>Cerrado y permanente</t>
    </r>
    <r>
      <rPr>
        <sz val="11"/>
        <rFont val="Calibri"/>
        <family val="2"/>
        <scheme val="minor"/>
      </rPr>
      <t xml:space="preserve">:  </t>
    </r>
    <r>
      <rPr>
        <sz val="7"/>
        <rFont val="Calibri"/>
        <family val="2"/>
        <scheme val="minor"/>
      </rPr>
      <t xml:space="preserve">13/12/2022 03:49 PM - Adriana Patricia - Oyuela Lopez - Fase 2. Elaboración de la ficha del caracterización del proyecto "prototipo modelo de biblioteca sede belmonte" y presentación ante el Comité Seccional de Biblioteca para su revisión, sugerencia y aprobación para iniciar con el proceso de ejecución del proyecto (18 de octubre de 2022).
Última modificación: 01/12/2022 04:58 PM
Este año se logró trabajar de manera integrada con los procesos de proyección social e investigación.
Cerrado y permanente.  
01/12/2022 04:53 PM - Adriana Patricia - Oyuela Lopez - Año 2022. Se realiza la presentación de la ficha de Caracterización del proyecto CRAI para la seccional Pereira ante el Comité Seccional de Biblioteca. (octubre 18 2022) donde se sugiere por parte del comité.
La Dra. Luisa Fernanda comenta que conoció la transformación de la biblioteca del externado es un manejo multimedia absoluto, ya que tuvo como par de visitar la institución, tuvo un código, donde la presentación de la biblioteca es digital, presta libros, repositorio, consultas en libros digitales, apoyo y creación de los recursos y presentación de las áreas, centros de recursos, inducciones. Es la necesidad de ponernos a tono con esa tendencia.
Recomienda: que se incluya en el presupuesto las necesidades de temas digitales que apoyen el proceso ya que es un tema nacional. Y el tema de los espacios, contemplar el tema visual y de colores, atraer a los jóvenes con un diseño moderno y actual, espacio de conocimiento y creación donde se comparte el lenguaje del joven.
El comité queda comprometido a incluir dentro del presupuesto del 2023-2024 previa entrega de la información de biblioteca de las necesidades que se tienen estipuladas para el desarrollo del proyecto.
Para el año 2023, se inicia con la fase 1 y la presentación ante las directivas para dar comienzo al proyecto fase 1.
Última modificación: 01/12/2022 04:57 PM  
</t>
    </r>
  </si>
  <si>
    <r>
      <rPr>
        <b/>
        <sz val="8"/>
        <rFont val="Calibri"/>
        <family val="2"/>
        <scheme val="minor"/>
      </rPr>
      <t xml:space="preserve">Cerrada y permanente: </t>
    </r>
    <r>
      <rPr>
        <sz val="8"/>
        <rFont val="Calibri"/>
        <family val="2"/>
        <scheme val="minor"/>
      </rPr>
      <t xml:space="preserve"> 
En el transcurso del año 2022, se brindo asesoría al 78% del personal identificado que requería de algún tipo de orientación en este tema. Adicionalmente el día 23 de septiembre se realizo capacitación sobre Sistema General de Pensiones en Colombia a cargo de la Jefe de Área de Derecho Laboral.
Estado: Ejecutado
La base de datos de administrativos, docentes y directores de programa se tiene actualizada a agosto de 2022, en la cual están plenamente identificandos las personas que se les están dando asesoría, así:
Administrativos de 136 se encuentran afiliados a los siguientes fondos, así:
Colpensiones: 61
Colfondos: 5
Protección: 28
Porvenir: 42
De los cuales se les brindará asesoria a 25.
Directores de programa de 13 se encuentran afiliados a los siguientes fondos, así:
Colpensiones: 7
Colfondos: 1
Protección: 3
Porvenir: 2
De los cuales se les brindará asesoria a 6.
Docentes de 244 se encuentran afiliados a los siguientes fondos, así:
Colpensiones: 151
Colfondos: 13
Protección: 31
Porvenir: 48
Skandia:1
De los cuales se les brindará asesoria a 68.
Adicional a lo anterior, se les invitará a la capacitación "Lo que debes saber sobre el sistema general de seguridad social en pensiones" que se tiene prevista para el mes de septiembre.</t>
    </r>
  </si>
  <si>
    <t xml:space="preserve">Actividades del  Plan de Implementación de Cambios finalizadas dentro de los tiempos establecidos  </t>
  </si>
  <si>
    <r>
      <rPr>
        <b/>
        <sz val="11"/>
        <rFont val="Calibri"/>
        <family val="2"/>
        <scheme val="minor"/>
      </rPr>
      <t>Cerrada:</t>
    </r>
    <r>
      <rPr>
        <sz val="11"/>
        <rFont val="Calibri"/>
        <family val="2"/>
        <scheme val="minor"/>
      </rPr>
      <t xml:space="preserve">  Se remitió a dirección Nacional para su revisión el documento maestro para la especialización de Seguridad de la Información y se recibieron los comentarios. A la fecha se encuentra en proceso de ajuste dicho documento.
Con relación al documento maestro de la especialización en Gerencia de Construcciones se encuentra en proceso de elaboración del documento maestro para remitirse a la dirección de Planeación Naciona
En el mes de diciembre se radicó ante el MEN la información del documento maestro con los respectivos soportes con la finalidad de obtener el registro calificado para el programa de especialización en seguridad de la información.
Con relación al documento maestro del programa de especialización en gerencia de construcción se remitió a planeación nacional para su revisión final y observaciones y posterior registro en la plataforma SACES
Estado: Ejecutado</t>
    </r>
  </si>
  <si>
    <r>
      <rPr>
        <b/>
        <sz val="11"/>
        <rFont val="Calibri"/>
        <family val="2"/>
        <scheme val="minor"/>
      </rPr>
      <t xml:space="preserve">Cerrado y permanente: </t>
    </r>
    <r>
      <rPr>
        <sz val="11"/>
        <rFont val="Calibri"/>
        <family val="2"/>
        <scheme val="minor"/>
      </rPr>
      <t>Se realizó la actualización de los microcurrículos del programa de Derecho Semestralizado de acuerdo con la normativa Decreto 1330 de 2019 hasta su implementación en sexto semestre. El programa de Trabajo Social, cuenta con la totalidad de sus microcurriculos actualizados.
Estado: Ejecutado</t>
    </r>
  </si>
  <si>
    <r>
      <rPr>
        <b/>
        <sz val="11"/>
        <rFont val="Calibri"/>
        <family val="2"/>
        <scheme val="minor"/>
      </rPr>
      <t>Cerrado y permanente</t>
    </r>
    <r>
      <rPr>
        <sz val="11"/>
        <rFont val="Calibri"/>
        <family val="2"/>
        <scheme val="minor"/>
      </rPr>
      <t>:  Actualmente el PEP del programa de Derecho Semestralizado, enviado por la Sede principal, se encuentra publicado en el micrositio del programa en la página web institucional a disposición de toda la comunidad académica.
Es importante señalar que se está a la espera de instrucción o lineamientos nacionales para generar la actualización de acuerdo con el Decreto 1330 de 2019 del MEN.</t>
    </r>
  </si>
  <si>
    <r>
      <rPr>
        <b/>
        <sz val="11"/>
        <rFont val="Calibri"/>
        <family val="2"/>
        <scheme val="minor"/>
      </rPr>
      <t>Cerrado y permanente</t>
    </r>
    <r>
      <rPr>
        <sz val="11"/>
        <rFont val="Calibri"/>
        <family val="2"/>
        <scheme val="minor"/>
      </rPr>
      <t>:  Mediante Circular de la Rectoría Seccional y la Decanatura de la facultad, se informó a toda la comunidad de estudiantes y docentes del programa de Trabajo Social, sobre el traslado al campus Belmonte a partir de enero de 2023. El traslado de activos para oficina del programa se llevó a cabo en el mes de Noviembre de 2022.
Estado: Ejecutado</t>
    </r>
  </si>
  <si>
    <r>
      <rPr>
        <b/>
        <sz val="8"/>
        <rFont val="Calibri"/>
        <family val="2"/>
        <scheme val="minor"/>
      </rPr>
      <t xml:space="preserve">Cerrado y permanente:  </t>
    </r>
    <r>
      <rPr>
        <sz val="8"/>
        <rFont val="Calibri"/>
        <family val="2"/>
        <scheme val="minor"/>
      </rPr>
      <t>A partir del segundo semestre del año, los Directores de programa orientaron a los estudiantes para cursar el inglés, según lo establecido por el CLEUL, teniendo como referencia los nuevos planes de estudio para los programas de la Facultad (Economía, Contaduría Pública y Administración de empresas. Esta actividad será de seguimiento permanente en cada vigencia.</t>
    </r>
    <r>
      <rPr>
        <b/>
        <sz val="8"/>
        <rFont val="Calibri"/>
        <family val="2"/>
        <scheme val="minor"/>
      </rPr>
      <t xml:space="preserve">
Primer semestre:  </t>
    </r>
    <r>
      <rPr>
        <sz val="8"/>
        <rFont val="Calibri"/>
        <family val="2"/>
        <scheme val="minor"/>
      </rPr>
      <t>Se tiene proyectado realizar por parte de los directores de Programa un cronograma de sensibilización a los estudiantes a partir del 5o. semestre para que acrediten el nivel de inglés requerido.
Se definieron dos procedimientos para orientar a los estudiantes de los diferentes planes de estudio de 8 semestres y de 10 semestres, de los programas de la Facultad para acreditar segunda lengua, los cuales se presentaron y aprobaron en el Comité de Unidad Académica realizado en el 22 de abril de 2022- Acta No 04-
En esta mismo acta quedó consignada la formalización de los procedimientos constituidos a nivel multicampus de Práctica Empresarial-Profesional y Servicio Social, como requistos de grado de los planes de estudio a 8 semestres de los programas de pregrado de la Facultad.</t>
    </r>
  </si>
  <si>
    <r>
      <rPr>
        <b/>
        <sz val="8"/>
        <rFont val="Calibri"/>
        <family val="2"/>
        <scheme val="minor"/>
      </rPr>
      <t xml:space="preserve">Cerrado y permanente: </t>
    </r>
    <r>
      <rPr>
        <sz val="8"/>
        <rFont val="Calibri"/>
        <family val="2"/>
        <scheme val="minor"/>
      </rPr>
      <t xml:space="preserve">Se instaló formalmente el departamento de Ciencias Básicas con la asistencia de Rectoría, Planeación, Ingeniería, investigación y facultad de Ciencias de la Salud, Exactas y Naturales.
Se expuso el alcance del departamento, que va mas allá de la simple agrupación de asignaturas básicas porque busca incidir en la investigación básica y aplicada y en la generación de programas de maestría y doctorado. Por ello se invitó a participar a la facultad de Ingeniería y a la Dirección seccional de investigación de esta seccional e igualmente al programa de Microbiología de la seccional Barranquilla. Además, se propone incorporar al dirección nacional de investigaciones.
Por tales razones se propone cambiar el nombre por Departamento de ciencias básicas e ingeniería.
Se anexa la aprobación por parte de la Honorable Consiliatura Maria Teresa Rodriguez Lugo Pendiente • MARIA TERESA RODRIGUEZ LUGO (2).pdf
Se designó responsable del proceso de concertación de las asignaturas que quedarán incluidas en el departamento. Se indagó sobre la metodología para parametrizar dichas asignaturas. Pendiente, parametrización y posterior socialización a los involucrados en el tema. Se espera iniciar operación en 20231 Maria Teresa Rodriguez Lugo Pendiente 
Cerrado y permanente. Ya se implementó el departamento de ciencias básicas buscando en primer término la flexibilidad para los estudiantes de la facultad.   </t>
    </r>
  </si>
  <si>
    <r>
      <rPr>
        <b/>
        <sz val="11"/>
        <rFont val="Calibri"/>
        <family val="2"/>
        <scheme val="minor"/>
      </rPr>
      <t xml:space="preserve">Cerrado y permanente: </t>
    </r>
    <r>
      <rPr>
        <sz val="11"/>
        <rFont val="Calibri"/>
        <family val="2"/>
        <scheme val="minor"/>
      </rPr>
      <t xml:space="preserve"> 14/12/2022 11:50 AM - Luis Alfonso - Sandoval Perdomo - Se realizó seguimiento a los procesos de investigación y sus 24 actividades que hacen parte de los proyectos 11 y 12 del PIDI, con un índice de cumplimiento del 98%, que contiene el plan de mejora.  
26/07/2022 03:58 PM - Luis Alfonso - Sandoval Perdomo - A través del informe semestral del PIDI (PAT) se realiza seguimiento al plan de mejoramiento,  
02/06/2022 03:53 PM - Luis Alfonso - Sandoval Perdomo - Se socializó el plan de mejoramiento del proceso de investigación de acuerdo a las recomendaciones del CNA.  
</t>
    </r>
  </si>
  <si>
    <r>
      <t xml:space="preserve">Cerrada y permanente:  </t>
    </r>
    <r>
      <rPr>
        <sz val="11"/>
        <rFont val="Calibri"/>
        <family val="2"/>
        <scheme val="minor"/>
      </rPr>
      <t>:  Se elaboró y publicó la revista semestral de proyección social del período 2022-1, en el micrositio de la página web de la Seccional Pereira. https://www.unilibre.edu.co/pereira/index.php/universidad/proyeccion-social#revista-digital
Estado: Ejecutado</t>
    </r>
  </si>
  <si>
    <r>
      <t xml:space="preserve">Cerrada y permanente: </t>
    </r>
    <r>
      <rPr>
        <sz val="11"/>
        <rFont val="Calibri"/>
        <family val="2"/>
        <scheme val="minor"/>
      </rPr>
      <t xml:space="preserve"> Durante el año 2022, se llevaron a cabo 13 comiés de proyección social, de los cuales 11 fueron comités de Facultad y 2 Seccionales, los cuales se encuentran registrados en la plataforma del Sistema de Información de Calidad (kawak) y se les hace seguimiento al cumplimiento de compromisos.
Estado: Ejecutado</t>
    </r>
  </si>
  <si>
    <r>
      <t xml:space="preserve">Cerrada y permanente:   </t>
    </r>
    <r>
      <rPr>
        <sz val="11"/>
        <rFont val="Calibri"/>
        <family val="2"/>
        <scheme val="minor"/>
      </rPr>
      <t>Durante la vigencia 2022 se creo el comité y se desarrollaron 6 comités de emprendimiento seccional, los cuales fueron registrados en el Sistema de Información de Calidad (KAWAK) y se les hace seguimiento al cierre de compromisos
Estado: Ejecutado</t>
    </r>
  </si>
  <si>
    <r>
      <t xml:space="preserve">Cerrada y permanente:   </t>
    </r>
    <r>
      <rPr>
        <sz val="11"/>
        <rFont val="Calibri"/>
        <family val="2"/>
        <scheme val="minor"/>
      </rPr>
      <t>Se socializa la ruta de emprendimiento a los empresarios con la finalidad de brindar un acompañamiento pertinente a cada modelo de negocios
Estado: Ejecutado</t>
    </r>
  </si>
  <si>
    <r>
      <rPr>
        <b/>
        <sz val="12"/>
        <rFont val="Arial"/>
        <family val="2"/>
      </rPr>
      <t>ID 24882:</t>
    </r>
    <r>
      <rPr>
        <sz val="10"/>
        <rFont val="Arial"/>
        <family val="2"/>
      </rPr>
      <t xml:space="preserve"> Elaborar boletín estadístico de movilidad ORI (últimos 5 años) y socializarlo a las Facultades (Estabilizar los datos de internacionalización para dar respuesta a registros calificados y acreditación)</t>
    </r>
  </si>
  <si>
    <r>
      <t xml:space="preserve">Cerrado y permanente: </t>
    </r>
    <r>
      <rPr>
        <sz val="11"/>
        <rFont val="Calibri"/>
        <family val="2"/>
        <scheme val="minor"/>
      </rPr>
      <t>Se elaboró el boletín estadístico del proceso de internacionalización de los últimos 5 años (2017 al 2022). Se socializó con las unidades académicas y administrativas. Este boletín se seguirá alimentando para cada vigencia.</t>
    </r>
  </si>
  <si>
    <r>
      <rPr>
        <b/>
        <sz val="8"/>
        <rFont val="Calibri"/>
        <family val="2"/>
        <scheme val="minor"/>
      </rPr>
      <t xml:space="preserve">Cerrado y permanente,:  </t>
    </r>
    <r>
      <rPr>
        <sz val="8"/>
        <rFont val="Calibri"/>
        <family val="2"/>
        <scheme val="minor"/>
      </rPr>
      <t xml:space="preserve">Durante todo el año la oficina de relaciones interinstitucionales ha realizado de manera permanente eventos promocionales y de difusión de la internacionalización de la universidad libre, tanto interno como externo.  Lo cual ha impactado en mayor posicionamiento de la Universidad, mayor dinámica de convocatorias y postulaciones, entre otros.
Se han realizado varios eventos promocionales este año
• El 06 de mayo se realiza la capacitación de CAMPUS FRANCE para los 6 estudiantes de derecho postulantes a doble titulación en la universidad de Poitiers .La UNIVERSIDAD LIBRE seccional Pereira continua en el 2022 impulsando la internacionalización, el pasado cinco de mayo en la sala de juntas de rectoría tuvo lugar el encuentro del Rector Luis Cristóbal Ospina Montoya, los estudiantes del programa de Derecho postulantes a la doble titulación con la Universidad de Poitiers-Francia:
MARIANA EUSE SOTO
ANA SOFIA NAVIA ROJAS
JUAN ALEJANDRO VALENCIA GRANADOS
LAURA SOFIA RIVERO GIRALDO
ERIKA PAOLA GIRALDO TORO
DANA CAROLINA LÓPEZ GONZALEZ
</t>
    </r>
    <r>
      <rPr>
        <sz val="6"/>
        <rFont val="Calibri"/>
        <family val="2"/>
        <scheme val="minor"/>
      </rPr>
      <t xml:space="preserve">Con el director para Colombia de Campus France Pierre Pierre Marie Biotteau, quien expuso los procedimientos y aspectos a tener en cuenta para vivir una migración positiva en pro de continuar sus estudios en Francia. Asistieron también el director de la Alianza Francesa Gaël Duran, la directora de Planeación Adriana Vallejo de la Pava, María del Pilar Muñoz Mejía secretaria académica de derecho y la coordinadora de la ORI Ángela María Arias Toro. Un evento que estrecha los lazos de cooperación interinstitucional e internacional entre actores académicos que propenden por el fortalecimiento de la región.
• ORI hace presencia en la Feria Estudiantil realizada en la Universidad Libre el 7 de mayo de 2022.
• Participación de la ORI en la jornada de inducción en la maestría de derecho Penal el 19-05-2022, se entregó plegable ORI, se expuso el micrositio ORI y su funcionalidad, explicando el uso del buscador de convenios y la información de los cursos de inglés promocionados por el CLEUL
• Movilidad docente - investigador : La docente investigadora dra Claudia María García Muñoz adscrita a la facultad de Derecho, Ciencias Políticas y Sociales de la Universidad Libre seccional Pereira participará como expositora de la ponencia “titulada “Feminicidio: barreras socio-jurídicas que obstaculizan la procuración de justicia en la región del cafetero (Colombia)”, la cual hace parte del Panel “Las violencias en el mundo en emergencia”, en el cual participara con otras seis panelistas de toda América Latina. Dicha ponencia se encuentra enmarcada en los resultados del proyecto de investigación institucional unilibrista, aprobado en la Convocatoria Nacional 01, denominado “Caracterización de los feminicidios en dos regiones de Colombia: Estudio de caso de sus dimensiones socio-jurídicas, para el período 2015 – 2017” 2. Y asistirá a la reunión de trabajo del Grupo de Trabajo “Feminismos, resistencias y emancipación “hace parte como investigadora.
Posteriormente, una vez reintegrada nuevamente a las labores académicas, con el apoyo del Centro de Investigaciones Socio-Jurídicas, organizará en el segundo semestre del 2022, un Conversatorio sobre “Feminicidio en la región cafetera”, dirigido a la comunidad académica de la Universidad y otras Universidades e instituciones competentes y organizaciones de la sociedad civil, en el cual se presenten los hallazgos de la investigación. En dicho conversatorio presentará un balance de las tendencias de punta que se debatieron en la Conferencia de CLACSO, en torno a la investigación sobre este campo.
se publica en : https://www.unilibre.edu.co/pereira/index.php/universidad/ultimas-noticias-inicio/3329-movilidad-docente-investigadora-facultad-derecho
• El 10-06-2013 la Ori Participa en la charla dirigida a los estudiantes de grado 11 del colegio LLinas explicando que es la ORI y cuál es su función y servicios al estudiante unilibrista. Se socializa desde la página web el micrositio ORI y el buscador de convenios realizando el ejercicio de búsqueda desde los celulares de los alumnos y se entrega plegable promocional ORI. La actividad se cumple dentro de la agenda planteada desde mercadeo.
• Se publica en noticias ORI y redes las movilidades internacionales de los estudiantes: Nicolás Rangel modalidad investigación lugar Canadá, Vanessa Palomino modalidad internacional: intercambio universidad de Chiapas México, y Evelyng Herrera movilidad nacional: practica integrada - seccional Cali . Se puede consultar las publicaciones en :https://www.unilibre.edu.co/pereira/index.php/noticias-ori
• El 21 de Junio la Universidad Libre , en representación de la directora de Planeación Dra. Adriana Vallejo y el director de Investigaciones dr. Luis Alfonso Sandoval dieron la bienvenida a los estudiantes del programa de investigación DELFIN en movilidad internacional procedentes de México: Ramón Eduardo Ávalos y José Raúl Ibarra Zamudio ambos vienen de la Universidad de la Ciénaga estado de Michoacán de Ocampo y Juan Manuel Chavira Rubio proviene de la Universidad Autónoma ciudad Juárez ; quienes se vinculan a los programas de investigación de : Microbiología de suelos los primeros y Materiales el último . A su vez las estudiantes de pregrado en Microbiología Luisa Fernanda Agudelo y Jazbleidy Marulanda pasan a realizar a partir del 2022-2 la doble titulación en el programa de Bacteriología seccional Barranquilla.
Acompañan a los estudiantes el director del programa de ingeniería Civil ing. Pava, el docente investigador Ing. Amariles, docente investigadora Liliana Bueno López, docente investigador y directora de programa de Microbiología Dra. Adaluci Alvarez Aldana y docente investigador Duverney Gaviria Arias, directora del programa de Enfermería Carolina Pava Laguna, la coordinadora (e) ORI Ángela María Arias Toro
</t>
    </r>
  </si>
  <si>
    <r>
      <rPr>
        <b/>
        <sz val="8"/>
        <rFont val="Calibri"/>
        <family val="2"/>
        <scheme val="minor"/>
      </rPr>
      <t xml:space="preserve">Cerrada y permenente:  
</t>
    </r>
    <r>
      <rPr>
        <sz val="8"/>
        <rFont val="Calibri"/>
        <family val="2"/>
        <scheme val="minor"/>
      </rPr>
      <t xml:space="preserve">En el transcurso del año 2022, se brindo asesoría al 78% del personal identificado que requería de algún tipo de orientación en este tema. Adicionalmente el día 23 de septiembre se realizo capacitación sobre Sistema General de Pensiones en Colombia a cargo de la Jefe de Área de Derecho Laboral.
Estado: Ejecutado
Primer semestreLa base de datos de administrativos, docentes y directores de programa se tiene actualizada a agosto de 2022, en la cual están plenamente identificandos las personas que se les están dando asesoría, así:
Administrativos de 136 se encuentran afiliados a los siguientes fondos, así:
Colpensiones: 61
Colfondos: 5
Protección: 28
Porvenir: 42
De los cuales se les brindará asesoria a 25.
Directores de programa de 13 se encuentran afiliados a los siguientes fondos, así:
Colpensiones: 7
Colfondos: 1
Protección: 3
Porvenir: 2
De los cuales se les brindará asesoria a 6.
Docentes de 244 se encuentran afiliados a los siguientes fondos, así:
Colpensiones: 151
Colfondos: 13
Protección: 31
Porvenir: 48
Skandia:1
De los cuales se les brindará asesoria a 68.
</t>
    </r>
  </si>
  <si>
    <r>
      <rPr>
        <b/>
        <sz val="11"/>
        <rFont val="Calibri"/>
        <family val="2"/>
        <scheme val="minor"/>
      </rPr>
      <t xml:space="preserve">Cerrada y permanente: </t>
    </r>
    <r>
      <rPr>
        <sz val="11"/>
        <rFont val="Calibri"/>
        <family val="2"/>
        <scheme val="minor"/>
      </rPr>
      <t xml:space="preserve">
1. Se hizo un levantamiento de diagnóstico a través de encuesta virtual, con los resultados se identificaron los temas prioritarios de capacitación al personal administrativo y  docentes 
2. Se realizó el análisis de la información para la determinación del orden de las capacitaciones y diseño publicitario.
3. Se hizo divulgación al personal administrativo de las primeras piezas publicitarias con temas como:  Uso de pasos seguros y disminución de límites de velocidad</t>
    </r>
  </si>
  <si>
    <r>
      <rPr>
        <b/>
        <sz val="11"/>
        <rFont val="Calibri"/>
        <family val="2"/>
        <scheme val="minor"/>
      </rPr>
      <t xml:space="preserve">Cerrada y permanente:  </t>
    </r>
    <r>
      <rPr>
        <sz val="11"/>
        <rFont val="Calibri"/>
        <family val="2"/>
        <scheme val="minor"/>
      </rPr>
      <t xml:space="preserve"> En la última semana de noviembre de 2022, Se realizaron jornadas de capacitación masiva en las 4 Facultades, sobre riesgo Psicosocial, conservación de la voz y caídas a nivel y orden y aseo, con una participación del 70% de la población docente.
Estado: Ejecutado</t>
    </r>
    <r>
      <rPr>
        <b/>
        <sz val="11"/>
        <rFont val="Calibri"/>
        <family val="2"/>
        <scheme val="minor"/>
      </rPr>
      <t xml:space="preserve">
</t>
    </r>
    <r>
      <rPr>
        <sz val="11"/>
        <rFont val="Calibri"/>
        <family val="2"/>
        <scheme val="minor"/>
      </rPr>
      <t xml:space="preserve">
1.  A través de las Decanaturas, se han realizaron capacitaciones a los docentes sobre manejo y conservación de la voz, donde participaron aproximadamente 50 docentes.
 2. En el marco de los exámenes ocupacionales periódicos y de ingreso a docentes se realizó el proceso de inducción y reinducción a aproximadamente 260 docentes.
3.  Se solicitó apoyo del COPASST para la organización de jornada única de capacitación por cada Decanatura, la cual se  tiene prevista su realización en el último trimestre del año</t>
    </r>
  </si>
  <si>
    <r>
      <rPr>
        <b/>
        <sz val="11"/>
        <rFont val="Arial"/>
        <family val="2"/>
      </rPr>
      <t xml:space="preserve">ID18493 : </t>
    </r>
    <r>
      <rPr>
        <sz val="11"/>
        <rFont val="Arial"/>
        <family val="2"/>
      </rPr>
      <t xml:space="preserve"> </t>
    </r>
    <r>
      <rPr>
        <sz val="10"/>
        <rFont val="Arial"/>
        <family val="2"/>
      </rPr>
      <t>Elaboración de la  carcterización de la propuesta CRAI para la Seccional Pereira (Ofrecer un ambiente integrado de información y servicios presenciales y no presenciales, brindando apoyo al aprendizaje, enseñanza y la investigación, aprovechando recursos tecnológicos, bibliográficos, electrónicos y físicos)</t>
    </r>
  </si>
  <si>
    <r>
      <rPr>
        <b/>
        <sz val="11"/>
        <rFont val="Calibri"/>
        <family val="2"/>
        <scheme val="minor"/>
      </rPr>
      <t>Cerrado</t>
    </r>
    <r>
      <rPr>
        <sz val="8"/>
        <rFont val="Calibri"/>
        <family val="2"/>
        <scheme val="minor"/>
      </rPr>
      <t xml:space="preserve">:  Cómo avance a julio de 2022 se han realizado reuniones con el Director Seccional de Investigaciones y la Directora de Proyección social, donde se les socializó la propuesta CRAI con el fin de identificar como interactúan estos procesos para la integración de nuevos servicios y recursos como apoyo a las necesidades de investigadores, docentes y estudiantes.
Se elaboró el diseño para la campaña de expectativa, la cual estará disponible en el link del micrositio de biblioteca, página web, boletín informativo a toda la comunidad unilibrista como parte de la estrategia de comunicación.
Fase uno. El director sede principal hizo una presentación del CRAI realizada en el año 2018 (Centro de recursos y apoyo a la investigación) a todos los directores de biblioteca, en el presente año; dejando claro que el modelo CRAI en cada seccional se dará de acuerdo a su contexto y a las necesidades.
Para iniciar con la primera fase, la seccional Pereira participa de foros y conferencias en relación al CRAI, desde el año 2021, de donde se determina que es necesario investigar con las áreas como: Investigación, academia y proyección social las necesidades y buenas prácticas de cada proceso en donde la biblioteca puede participar con sus recursos y servicios y así implementar los nuevos requeridos para el modelo CRAI. Por lo anterior se está programando el plan de trabajo para las áreas a fines como proyección social, investigación, academia y representantes de estudiantes con el fin de determinar la construcción de propósitos y servicios. En segunda medida este año se participa en temas como: Transformación de bibliotecas retos para el futuro, con énfasis en los nuevos modelos CRAI.
Comentario: Fase uno. El director sede principal hizo una presentación del CRAI realizada en el año 2018 (Centro de recursos y apoyo a la investigación) a todos los directores de biblioteca, en el presente año; dejando claro que el modelo CRAI en cada seccional se dará de acuerdo a su contexto y a las necesidades.
Para iniciar con la primera fase, la seccional Pereira participa de foros y conferencias en relación al CRAI, desde el año 2021, de donde se determina que es necesario investigar con las áreas como: Investigación, academia y proyección social las necesidades y buenas prácticas de cada proceso en donde la biblioteca puede participar con sus recursos y servicios y así implementar los nuevos requeridos para el modelo CRAI. Por lo anterior se está programando el plan de trabajo para las áreas a fines como proyección social, investigación, academia y representantes de estudiantes con el fin de determinar la construcción de propósitos y servicios.
En segunda medida este año se participa en temas como: Transformación de bibliotecas retos para el futuro, con énfasis en los nuevos modelos CRAI.
Fase dos. Se lleva a cabo la descripción de la caracterización del nuevo modelo de biblioteca CRAI donde se le hizo la presentación al Comité seccional de Biblioteca para conocimiento, sugerencias e inquietudes y poner a puesta la ejecución del mismo en el año 2023 con la contratación del asesor del proyecto CRAI. Se adjunta caracterización del nuevo modelo de biblioteca CRAI.
</t>
    </r>
  </si>
  <si>
    <r>
      <rPr>
        <b/>
        <sz val="11"/>
        <rFont val="Arial"/>
        <family val="2"/>
      </rPr>
      <t xml:space="preserve">ID21477:  </t>
    </r>
    <r>
      <rPr>
        <sz val="11"/>
        <rFont val="Arial"/>
        <family val="2"/>
      </rPr>
      <t xml:space="preserve"> Caracterización del procedimiento para </t>
    </r>
    <r>
      <rPr>
        <sz val="10"/>
        <rFont val="Arial"/>
        <family val="2"/>
      </rPr>
      <t>el autoarchivo (ingreso de trabajos de grado al repositorio)</t>
    </r>
  </si>
  <si>
    <r>
      <rPr>
        <b/>
        <sz val="9"/>
        <rFont val="Calibri"/>
        <family val="2"/>
        <scheme val="minor"/>
      </rPr>
      <t>Cerrado</t>
    </r>
    <r>
      <rPr>
        <sz val="9"/>
        <rFont val="Calibri"/>
        <family val="2"/>
        <scheme val="minor"/>
      </rPr>
      <t>:</t>
    </r>
    <r>
      <rPr>
        <sz val="7"/>
        <rFont val="Calibri"/>
        <family val="2"/>
        <scheme val="minor"/>
      </rPr>
      <t xml:space="preserve"> Se reciben 17 recomendaciones de ajuste, y un trabajo de dos jornadas con el Alexander Alejo, Profesional de Comunicaciones y Oscar Zarate, encargado del RI, se realizaron los cambios correspondientes para dar atención a la mejora del video que ya queda en su versión definitiva. Por otro lado, con relación a la cobertura para la población con limitaciones visuales, se adjunta guion que podrá ser utilizado a través del Jaws (software lector de pantalla para ciegos o personas con visión reducida) y el propio Repositorio para convertir el texto en voz., dicha herramienta es la recomendada por el Ministerio de Tecnologías de la Información y las Comunicaciones.
Para la descarga, dar clic en:
https://www.convertic.gov.co/641/w3-propertyvalue-15339.html
Se elaboró la caracterización para el procedimiento del autoarchivo cerrándose para este año la primera fase.
 Se realiza reunión (viernes mayo 20) con los directores de biblioteca y algunos directores de Centros de Investigación de Pereira Y Cúcuta para revisar el guion propuesto de Autoarchivo, con el objetivo de realizar ajustes/recomendaciones y hacer estos ajustes sobre este proceso de carga de documentos y no sobre la estructura del Repositorio. Se remite al correo oscar.zarate@unilibre.edu.co a más tardar el 27 de mayo del año en curso con ajustes y recomendaciones.
Avances autoarchivo: Rubén (director de Bogotá) nos informa que se están haciendo unas pruebas de autoarchivo con algunas facultades. Uno de los cambios es que en el áreas de trabajos de grado de cada comunidad se creó una su comunidad llamada seccional (sea socorro, Bogotá, Cali, ect) Este cambio de arquitectura se hizo para que los correos de aprobación le lleguen a cada responsable en la biblioteca de cada seccional. Este cambio se debe aplicar para el segundo semestre de este año (2022), teniendo en cuenta que los cambios en la nueva arquitectura van en un 80%. En el tema del autoarchivo, el bache según Rubén es identificar cuando un trabajo de grado está aprobado y es el definitivo para lo que se va a seleccionar un docente o investigador enlace que nos va a dar un listado de los trabajos aprobados para poder dar el visto bueno cuando se haya cargado por el estudiante, luego se informa al estudiante y al docente que ya fueron cargados. Cuando lo tengamos en la práctica va a ser socializado con todos las personas que integran este aplicativo y así ponerlo en consideración de las directivas para que sea una directriz nacional.
Se envía correo 26 de septiembre como avance del autoarchivo:
Configuración de las subcomunidades en el Repositorio para el modelo de autoarchivo multicampus (mayor reto).
Migración de los trabajos de grado/tesis/artículos a cada una de las subcomunidades configuradas.
Elaboración del procedimiento para el Sistema de Gestión de Calidad (Borrador).
Elaboración de un guion para la creación del video.
Depuración de los programas académicos, el cual lleva terminadas 3 de las 7 seccionales (Barranquilla, Pereira y Bogotá..... Cúcuta inicia en octubre).
Reuniones con la Dirección Nacional de Investigaciones y Dirección Nacional de Comunicaciones.
Se envía el video del autoarchivo para la revisión correspondiente., para dicha actividad cada seccional debe simular el rol de estudiante (que entrega el trabajo de grado) y administrador funcional (quien revisa datos cargados y acepta el trabajo de grado). Es la última parte de la implementación.</t>
    </r>
  </si>
  <si>
    <r>
      <rPr>
        <b/>
        <sz val="11"/>
        <rFont val="Calibri"/>
        <family val="2"/>
        <scheme val="minor"/>
      </rPr>
      <t xml:space="preserve">Cerrado y permanente:  </t>
    </r>
    <r>
      <rPr>
        <sz val="11"/>
        <rFont val="Calibri"/>
        <family val="2"/>
        <scheme val="minor"/>
      </rPr>
      <t>Durante el I semestre de 2022 se termino la propuesta de los terminos de referencia o guia pára los estudios de Pertienncia de los programas académicos. Se radico en Bogota en Planeacion Nacional el documento y se esta a la espera de los comentarios de los Rectores a nivel nacional
Durante el segundo semestre del año, se revisó la propuesta comparándola con los estudios realizados por la Seccional de Cali y   con un estudio de pertinencia y factibilidad que elaboró la Facultad de Ciencias de la salud, exactas y naturales para los programas de especialización. De acuerdo a lo anterior, se determinó con el asistente de planeación las fuentes de información a las que se puede acceder para brindar a los programas una información preliminar de contexto</t>
    </r>
  </si>
  <si>
    <r>
      <rPr>
        <b/>
        <sz val="11"/>
        <rFont val="Calibri"/>
        <family val="2"/>
        <scheme val="minor"/>
      </rPr>
      <t xml:space="preserve">Cerrado:  </t>
    </r>
    <r>
      <rPr>
        <sz val="11"/>
        <rFont val="Calibri"/>
        <family val="2"/>
        <scheme val="minor"/>
      </rPr>
      <t>En el I semestrte de 2022 se presento y acogio la propúesta por la REDv de Universidades de Risaralda. La propuesta se trabajo con Planeación, Facultad de Ingenieria, Facultad de Derecho
Para el segundo semestre de 2022, a través de COMFAMILIAR se realizó un evento de aseguramiento de la calidad en el mes de octubre de 2022.</t>
    </r>
  </si>
  <si>
    <r>
      <rPr>
        <b/>
        <sz val="11"/>
        <rFont val="Calibri"/>
        <family val="2"/>
        <scheme val="minor"/>
      </rPr>
      <t>Cerrado y permanente:</t>
    </r>
    <r>
      <rPr>
        <sz val="11"/>
        <rFont val="Calibri"/>
        <family val="2"/>
        <scheme val="minor"/>
      </rPr>
      <t xml:space="preserve">  Durante el I semestre de 2022 se realizó la capacitación por parte de la Seccional Socorro de la herramienta que consolida la informacion de saber pro desempeño y la cual permite analizar los resultados desde la Seccional, las facultades y programas. Esto se realizo con los Decanos, Directores de Programa, planeación, aseguramiento de la calidad académica y SGC.
Desde las Decanaturas se enviaron a planeación los informes de resultados de pruebas saber pro, los cuales fueron evidenciados por la revisoria fiscal en las visitas realizadas durante el año 2022 en las auditorías académicas y seguimiento.
Conjuntamente con Planeación, se revisaron los informes enviados por las Facultades y a partir de ahí, se elabó un informe por cada uno de los programas con el fin de realizar un análisis de las cifras y se retroalimente con las Decanaturas para los planes de mejoramiento existentes
Se elaboró un procedimiento seccional de pruebas Saber Pro con la metodología del Sistema de Gestión de Calidad, conjuntamente con la Seccional Socorro, para dar mayor claridad y orientación a los involucrados.  igualmente desde la Dirección de Planeación se envió como propuesta para estandarización a la sede principal.</t>
    </r>
  </si>
  <si>
    <r>
      <rPr>
        <b/>
        <sz val="11"/>
        <color rgb="FFFF0000"/>
        <rFont val="Calibri"/>
        <family val="2"/>
        <scheme val="minor"/>
      </rPr>
      <t>En proceso:</t>
    </r>
    <r>
      <rPr>
        <b/>
        <sz val="11"/>
        <rFont val="Calibri"/>
        <family val="2"/>
        <scheme val="minor"/>
      </rPr>
      <t xml:space="preserve"> </t>
    </r>
    <r>
      <rPr>
        <sz val="11"/>
        <rFont val="Calibri"/>
        <family val="2"/>
        <scheme val="minor"/>
      </rPr>
      <t>Se tienen los procedimientos estandarizados en los procesos de Aseguramiento de la calidad y Servicios generales, los cuales desde el sistema de gestión ambiental se verifica su cumplimiento.
Se están elaborando los indicadores de gestión ambiental para estandarización en el kawak
Se tiene una matriz DOFA de gestión ambiental seccional
Se Incluye en la auditorias internas de calidad el sistema de gestión ambiental.
Se elaboró herramienta de diagnóstico del SGA frente a los requisitos de la ISO14001: 2015 , el diagnóstico para verificar el cumplimento, actualmente está en un 85%.
En la sede principal, se recibió visita de auditoría externa en el mes de octubre de 2022 y se obtuvo la certificación en ISO14001 2015 para gestión ambiental, para el próximo año 2023 se tiene presupuestada la visita de auditoría externa para nuestra seccional.
Estado: Pendiente</t>
    </r>
  </si>
  <si>
    <r>
      <rPr>
        <b/>
        <sz val="11"/>
        <color rgb="FFFF0000"/>
        <rFont val="Calibri"/>
        <family val="2"/>
        <scheme val="minor"/>
      </rPr>
      <t xml:space="preserve">En Proceso:  </t>
    </r>
    <r>
      <rPr>
        <sz val="11"/>
        <rFont val="Calibri"/>
        <family val="2"/>
        <scheme val="minor"/>
      </rPr>
      <t xml:space="preserve">
- Se hizo contacto directo con las entidades encargadas del manejo de los residuos postconsumo con el fin de conocer el proceso detallado para el manejo de los residuos al interior de la universidad
- Se cotizó el diseño del espacio para la ubicación del punto postconsumo que estarán ubicados en el primer piso de la sede centro en el corredor cerca de los baños de hombres y mujeres y en la sede Belmonte en el primer piso del bloque B.
- Se está a la espera de respuesta por parte de las entidades proveedoras para disponibilidad de recipientes y entrega por parte de ambiental para revisión de todos los convenios por parte de jurídica.
Estado: Pendiente</t>
    </r>
  </si>
  <si>
    <r>
      <t>Cerrado y permanente:</t>
    </r>
    <r>
      <rPr>
        <sz val="11"/>
        <rFont val="Calibri"/>
        <family val="2"/>
        <scheme val="minor"/>
      </rPr>
      <t xml:space="preserve"> Se han tomado diferentes muestras del suelo por parte del programa de microbiología para el análisis de viabilidad de uso del material compostado.
- Se ha aplicado material de abono para mejorar acelerar el proceso de compostaje.
- Se ha utilizado 298.5 kg de material abonado para el proyecto de huertas del programa de microbiología y 415 kg para abono en los jardines internos de la Universidad.
Para el próximo año, se proyecta la compra de equipos y herramientas para agilizar el proceso de compostaje
Estado: Ejecutado</t>
    </r>
  </si>
  <si>
    <r>
      <rPr>
        <b/>
        <sz val="11"/>
        <rFont val="Calibri"/>
        <family val="2"/>
        <scheme val="minor"/>
      </rPr>
      <t>Cerrada:</t>
    </r>
    <r>
      <rPr>
        <sz val="11"/>
        <rFont val="Calibri"/>
        <family val="2"/>
        <scheme val="minor"/>
      </rPr>
      <t xml:space="preserve">  Durante la vigencia 2022 se realizó capacitación de tutorías por SINUGWT al 100% de las facultades que involucra a los docentes responsables de las tutorías, para el periodo 2022-2 se realizo prueba piloto, y a partir del 2023 se dio la instrucción de iniciar su implementación al 100% a lo cual desde las Secretaria Académicas se hará seguimiento.
Estado: Ejecutado</t>
    </r>
  </si>
  <si>
    <r>
      <rPr>
        <b/>
        <sz val="12"/>
        <rFont val="Calibri"/>
        <family val="2"/>
        <scheme val="minor"/>
      </rPr>
      <t xml:space="preserve">Cerrada: </t>
    </r>
    <r>
      <rPr>
        <sz val="12"/>
        <rFont val="Calibri"/>
        <family val="2"/>
        <scheme val="minor"/>
      </rPr>
      <t>En el transcurso del año 2022 se realizo capacitación y entrega de manejo de reporte por SINUGWT sobre el registro y consulta del plan de trabajo docente, a las áreas académicas y administrativas involucradas: Jefatura de Personal, Decanaturas y Directores de Programa
Estado: Ejecutado</t>
    </r>
  </si>
  <si>
    <r>
      <rPr>
        <b/>
        <sz val="8"/>
        <rFont val="Calibri"/>
        <family val="2"/>
        <scheme val="minor"/>
      </rPr>
      <t>Cerrado y permanente:</t>
    </r>
    <r>
      <rPr>
        <sz val="8"/>
        <rFont val="Calibri"/>
        <family val="2"/>
        <scheme val="minor"/>
      </rPr>
      <t xml:space="preserve"> 
Para el primer semestre del año 2022, se programo las siguientes capacitaciones y acompañamientos donde las tématicas fueron las siguientes:
1. Capacitación Procesos Técnicos y/o TRD
2. Asesoría y Acompañamiento en Casos Específicos y/o Apoyo.
3. Visita de verificación de cumplimiento de procedimientos institucionales
Las oficinas que recibieron de capacitación y/o acompañamiento fueron las siguientes:
0170 MERCADEO
1252 PRESUPUESTO
1400 SISTEMAS E INFORMACIÓN
1450 ADMINISTRACIÓN DE PERSONAL
1450 ADMINISTRACIÓN DE PERSONAL
1507 COORDINACIÓN DE EGRESADOS
1507 COORDINACIÓN DE EGRESADOS
1550 GESTIÓN AMBIENTAL
3040 DIRECCIÓN DE EDUCACIÓN CONTINUADA
3050 CENTRO DE EMPRENDIMIENTO INNOVACIÓN Y DESARROLLO EMPRESARIAL. CEIDEUL
3050 CENTRO DE EMPRENDIMIENTO INNOVACIÓN Y DESARROLLO EMPRESARIAL. CEIDEUL - COORDINACIÓN ACADEMICA
3070 DIRECCIÓN DE PROYECCIÓN SOCIAL
3100 DECANATURA FCS
3110 SECRETARÍA ACADÉMICA FCS
3140 DIRECCIÓN DE PROGRAMAS PREGRADO FCS
3210 SECRETARÍA ACADÉMICA FDCPS
3260 CONSULTORIO JURÍDICO - GRATUITO
3260 CONSULTORIO JURÍDICO - ONOROSO
3270 CENTRO DE CONCILIACIÓN
3270 CENTRO DE CONCILIACIÓN
3310 SECRETARÍA ACADÉMICA FI
3350 LABORATORIOS FI
3410 SECRETARÍA ACADÉMICA FCEAC
5000 ORI OFICINA DE RELACIONES INTERINSTITUCIONALES
Con lo anterior, desde el proceso de Gestión Documental, hemos logrado mayor cumplimiento de los procedimientos y organización de los archivos de gestión.
Durante el segundo semestre del año, se realizó la capacitación en las siguientes temáticas:
CAPACITACIONES EN LA SECCIONAL:
6/09/2022 Personal de servicios generales Capacitación en procedimiento en buenas prácticas de limpieza locativa.
7/09/2022 Funcionarios de archivos de gestión y archivo central. Primeros auxilios en documentos de archivo “conservación documental”
3/10/2022 Funcionarios de archivos de gestión y archivo central. Capacitación “Buenas prácticas en conservación preventiva de archivos”
4/10/2022 Funcionarios de archivos de gestión y archivo central. Capacitación “Buenas prácticas en conservación preventiva de archivos”
TOTAL DE ASISTENTES A LAS CAPACITACIONES EN CONSERVACIÓN DOCUMENTAL: 32
Adicionalmente, como parte de las acciones de mejora para el año 2022, se propuso la sensibilización de las Unidades Administrativas y Académicas de la Seccional sobre la importancia de la apropiación de los procedimientos de Gestión Documental. Esto con el objetivo de optimizar la conservación y la preservación documental de la documentación en soporte físico y electrónico en la Seccional.
Para lo cual, se propuso desde la seccional Cali y Pereira, el diseño de un curso virtual a través de la plataforma E-Learning de la Universidad, el primer curso virtual de carácter administrativo, denominado “Aplicación de TRD, organización y transferencia documental”, el cual fue construido de manera colaborativa por los equipos de Gestión Documental y de E-Learning a nivel nacional.
Los módulos impartidos en la capacitación: Modulo 1, Metodología para la actualización de la TRD v2; Modulo 2, Aspectos genéricos para la aplicación de TRD, Transferencias documentales y eliminación documental. Módulo 3, Aspectos genéricos para la organización de archivos en soporte electrónico. En este último, tuve la oportunidad de participar como profesora dictando todo el módulo de gestión electrónica a nivel nacional.
Dirigido al personal administrativo de niveles Técnico, Asistencial y Auxiliar y también, para Jefes, Líderes y Profesionales que tengan bajo su responsabilidad el proceso de organización documental en los Archivos de Gestión.
Resultados: Curso Virtual con una duración de 8 horas, dentro de las cuales, 6 horas trabajo autónomo en plataforma y 2 horas sincrónica. Los días en que se realizaron las clases sincrónicas fueron: 31 de agosto, 5 y 9 de septiembre, de 2:00 pm a 5:00 pm a través de la plataforma Microsoft Teams
Total, de Asistencia A Nivel Nacional: 502 Asistentes de las 7 Seccionales.
Total, Seccional Pereira: 77 Asistentes de todas las oficinas de la Seccional.
Estado: Ejecutado</t>
    </r>
  </si>
  <si>
    <r>
      <rPr>
        <b/>
        <sz val="8"/>
        <rFont val="Calibri"/>
        <family val="2"/>
      </rPr>
      <t xml:space="preserve">Año 2022: </t>
    </r>
    <r>
      <rPr>
        <sz val="8"/>
        <rFont val="Calibri"/>
        <family val="2"/>
      </rPr>
      <t xml:space="preserve"> En el primer semestre del año (del 2  al 13 de mayo de 2022) se auditaron los 16 procesos inmersos en el Sistema de Gestión de Calidad (19 áreas teniendo en cuenta cada Facultad), a través de auditorias presenciales y solo Docencia - Facultad de Derecho Ciencias Políticas y Sociales auditada por el Ingeniero Federico García de la Seccional Cali, fue remota. Para la ejecución de las auditorías se contó con 15 auditores activos asignados a los diferentes procesos:    
1. Jaime Alonso Vélez Mazo
2. Beatriz Elena Duran Gómez 
3. Luis Hernando López Peñarete
4. Juan Manuel Cárdenas Restrepo 
5. Luisa Fernanda Hurtado Castrillón
6. Carlos Andrés Mejía Vergara
7. Martha Beatriz Farfán Orozco
8. Gloria Amparo Sánchez Maldonado
9. Jaime Eduardo Uricoechea Bedoya
10. Jorge Enrique Ramírez Rincón
11. Carlos Alberto Atehortúa García
12. Ángela María Arias Toro
Claudia Liliana Piedrahita Castaño
13. Federico García López (Seccional Cali)
German Bedoya Cardona
14. Endna García Hernández
15. Diana Arango Isaza 
Los resultados fueron: 5 hallazgos o no conformidades (NC) y 20 observaciones (OBS) u oportunidades de mejora, por lo cual  en el segundo semestre del año, se trabajó con los líderes de proceso y equipos de trabajo en la formulación de 40 acciones de mejora, donde el 100%  se encuentran cerradas. 
Es importante señalar que a nivel nacional se auditó la norma NTC5906 del Ministerio de justicia con fines de certificación para el Centro de Conciliación del Consultorio Jurídico, a través de los procesos de proyección social, Gestión de servicios generales, gestión documental, gestión humana y gestión de informática.
</t>
    </r>
  </si>
  <si>
    <r>
      <t xml:space="preserve">No. de Títulos Físicos y Electrónicos Adquiridos - </t>
    </r>
    <r>
      <rPr>
        <sz val="10"/>
        <color rgb="FFFF0000"/>
        <rFont val="Arial"/>
        <family val="2"/>
      </rPr>
      <t xml:space="preserve">Periodo Anterior </t>
    </r>
    <r>
      <rPr>
        <sz val="10"/>
        <rFont val="Arial"/>
        <family val="2"/>
      </rPr>
      <t xml:space="preserve">/ </t>
    </r>
    <r>
      <rPr>
        <sz val="10"/>
        <color rgb="FFFF0000"/>
        <rFont val="Arial"/>
        <family val="2"/>
      </rPr>
      <t>No. de Títulos Físicos y Electrónicos Adquiridos- Periodo Actual</t>
    </r>
  </si>
  <si>
    <r>
      <rPr>
        <b/>
        <strike/>
        <sz val="10"/>
        <color rgb="FF0000FF"/>
        <rFont val="Arial"/>
        <family val="2"/>
      </rPr>
      <t>Id 275</t>
    </r>
    <r>
      <rPr>
        <b/>
        <sz val="10"/>
        <rFont val="Arial"/>
        <family val="2"/>
      </rPr>
      <t xml:space="preserve">. </t>
    </r>
    <r>
      <rPr>
        <b/>
        <sz val="10"/>
        <color rgb="FFFF0000"/>
        <rFont val="Arial"/>
        <family val="2"/>
      </rPr>
      <t xml:space="preserve">ID 735 </t>
    </r>
    <r>
      <rPr>
        <b/>
        <sz val="10"/>
        <rFont val="Arial"/>
        <family val="2"/>
      </rPr>
      <t xml:space="preserve">Indice de crecimiento en el número de títulos adquiridos . </t>
    </r>
    <r>
      <rPr>
        <b/>
        <sz val="10"/>
        <color rgb="FFFF0000"/>
        <rFont val="Arial"/>
        <family val="2"/>
      </rPr>
      <t>Seccional Pereira</t>
    </r>
    <r>
      <rPr>
        <b/>
        <sz val="10"/>
        <rFont val="Arial"/>
        <family val="2"/>
      </rPr>
      <t xml:space="preserve">(AS)    "2" y 3"
</t>
    </r>
  </si>
  <si>
    <r>
      <rPr>
        <b/>
        <sz val="12"/>
        <rFont val="Calibri"/>
        <family val="2"/>
        <scheme val="minor"/>
      </rPr>
      <t>Cerrado y permanente</t>
    </r>
    <r>
      <rPr>
        <sz val="12"/>
        <rFont val="Calibri"/>
        <family val="2"/>
        <scheme val="minor"/>
      </rPr>
      <t>: Se inició el proceso a partir de enero de 2021, el cual es permanente, se ha enviado correos a todos los proveedores adjuntando el paso a paso para el registro nacional de proveedores, se aclara que si ya hicieron la inscripción solo deben enviar la actualización de los siguientes documentos: RUT del año vigente, certificación bancaria y cámara de comercio.
Cerrada y permanente: a partir del 2023-1 se realizara la capacitación y puesta en marcha de la evaluación de proveedores por sistema seven. la preparación inicial para realizar esta acción de mejora se hizo durante el año 2022 con la identificación de usuarios, asignación de claves preparación de la capacitación, entre otros .
Estado: Ejecutado</t>
    </r>
  </si>
  <si>
    <r>
      <rPr>
        <b/>
        <sz val="5"/>
        <rFont val="Calibri"/>
        <family val="2"/>
        <scheme val="minor"/>
      </rPr>
      <t>Cerrada y permanente</t>
    </r>
    <r>
      <rPr>
        <sz val="5"/>
        <rFont val="Calibri"/>
        <family val="2"/>
        <scheme val="minor"/>
      </rPr>
      <t>:  Durante el segundo semestre del año, se realizó la capacitación en las siguientes temáticas:
CAPACITACIONES EN LA SECCIONAL:
6/09/2022 Personal de servicios generales Capacitación en procedimiento en buenas prácticas de limpieza locativa.
7/09/2022 Funcionarios de archivos de gestión y archivo central. Primeros auxilios en documentos de archivo “conservación documental”
3/10/2022 Funcionarios de archivos de gestión y archivo central. Capacitación “Buenas prácticas en conservación preventiva de archivos”
4/10/2022 Funcionarios de archivos de gestión y archivo central. Capacitación “Buenas prácticas en conservación preventiva de archivos”
TOTAL DE ASISTENTES A LAS CAPACITACIONES EN CONSERVACIÓN DOCUMENTAL: 32
Adicionalmente, como parte de las acciones de mejora para el año 2022, se propuso la sensibilización de las Unidades Administrativas y Académicas de la Seccional sobre la importancia de la apropiación de los procedimientos de Gestión Documental. Esto con el objetivo de optimizar la conservación y la preservación documental de la documentación en soporte físico y electrónico en la Seccional.
Para lo cual, se propuso desde la seccional Cali y Pereira, el diseño de un curso virtual a través de la plataforma E-Learning de la Universidad, el primer curso virtual de carácter administrativo, denominado “Aplicación de TRD, organización y transferencia documental”, el cual fue construido de manera colaborativa por los equipos de Gestión Documental y de E-Learning a nivel nacional.
Los módulos impartidos en la capacitación: Modulo 1, Metodología para la actualización de la TRD v2; Modulo 2, Aspectos genéricos para la aplicación de TRD, Transferencias documentales y eliminación documental. Módulo 3, Aspectos genéricos para la organización de archivos en soporte electrónico. En este último, tuve la oportunidad de participar como profesora dictando todo el módulo de gestión electrónica a nivel nacional.
Dirigido al personal administrativo de niveles Técnico, Asistencial y Auxiliar y también, para Jefes, Líderes y Profesionales que tengan bajo su responsabilidad el proceso de organización documental en los Archivos de Gestión.
Resultados: Curso Virtual con una duración de 8 horas, dentro de las cuales, 6 horas trabajo autónomo en plataforma y 2 horas sincrónica. Los días en que se realizaron las clases sincrónicas fueron: 31 de agosto, 5 y 9 de septiembre, de 2:00 pm a 5:00 pm a través de la plataforma Microsoft Teams
Total, de Asistencia A Nivel Nacional: 502 Asistentes de las 7 Seccionales.
Total, Seccional Pereira: 77 Asistentes de todas las oficinas de la Seccional.  
17/08/2022 03:22 PM - Anyela - Rodriguez Padilla - Para el primer semestre del año 2022, se programo las siguientes capacitaciones y acompañamientos donde las temáticas fueron las siguientes:
1. Capacitación Procesos Técnicos y/o TRD
2. Asesoría y Acompañamiento en Casos Específicos y/o Apoyo.
3. Visita de verificación de cumplimiento de procedimientos institucionales
Las oficinas que recibieron de capacitación y/o acompañamiento fueron las siguientes:
0170 MERCADEO
1252 PRESUPUESTO
1400 SISTEMAS E INFORMACIÓN
1450 ADMINISTRACIÓN DE PERSONAL
1507 COORDINACIÓN DE EGRESADOS
1550 GESTIÓN AMBIENTAL
3040 DIRECCIÓN DE EDUCACIÓN CONTINUADA
3050 CENTRO DE EMPRENDIMIENTO INNOVACIÓN Y DESARROLLO EMPRESARIAL. CEIDEUL - COORDINACIÓN ACADEMICA
3070 DIRECCIÓN DE PROYECCIÓN SOCIAL
3100 DECANATURA FCS
3110 SECRETARÍA ACADÉMICA FCS
3140 DIRECCIÓN DE PROGRAMAS PREGRADO FCS
3210 SECRETARÍA ACADÉMICA FDCPS
3260 CONSULTORIO JURÍDICO
3270 CENTRO DE CONCILIACIÓN - GRATUITO
3270 CENTRO DE CONCILIACIÓN - ONOROSO
3310 SECRETARÍA ACADÉMICA FI
3350 LABORATORIOS FI
3410 SECRETARÍA ACADÉMICA FCEAC
5000 ORI OFICINA DE RELACIONES INTERINSTITUCIONALES
Última modificación: 23/01/2023 09:40 AM</t>
    </r>
  </si>
  <si>
    <r>
      <rPr>
        <b/>
        <sz val="11"/>
        <rFont val="Calibri"/>
        <family val="2"/>
        <scheme val="minor"/>
      </rPr>
      <t>Cerrada y permanente:</t>
    </r>
    <r>
      <rPr>
        <sz val="11"/>
        <rFont val="Calibri"/>
        <family val="2"/>
        <scheme val="minor"/>
      </rPr>
      <t xml:space="preserve">  Se está realizando seguimiento diariamente sobre 3 aspectos:
1. Digitación inicial por parte de Pagaduría, se revisa en Contabilidad antes de la transmisión
2. Se entra todos los días al portal de FACTURE, para verificar de los enviados, cuál de ellos ha sido rechazado, para verificar las razones y poder corregir si es del caso, o dar el parte a los sistemas SEVEN y FACTURE para buscar la solución del problema
3. De las que pasaron correctamente, se realiza un informe con destino a la Auditoría de control interno y a la Revisoría fiscal</t>
    </r>
  </si>
  <si>
    <r>
      <rPr>
        <b/>
        <sz val="11"/>
        <rFont val="Arial"/>
        <family val="2"/>
      </rPr>
      <t xml:space="preserve">ID 1418 </t>
    </r>
    <r>
      <rPr>
        <sz val="10"/>
        <rFont val="Arial"/>
        <family val="2"/>
      </rPr>
      <t xml:space="preserve">Calificación de ingreso de los proveedores a través del aplicativo SEVEN </t>
    </r>
  </si>
  <si>
    <r>
      <rPr>
        <b/>
        <sz val="11"/>
        <rFont val="Calibri"/>
        <family val="2"/>
        <scheme val="minor"/>
      </rPr>
      <t>Cerrada y permenente</t>
    </r>
    <r>
      <rPr>
        <sz val="11"/>
        <rFont val="Calibri"/>
        <family val="2"/>
        <scheme val="minor"/>
      </rPr>
      <t xml:space="preserve">: Actividad que se realiza permanentemente desde el área de compras por el aplicativo SEVEN, con su respectiva calificación teniendo como soporte los documentos enviados por los proveedores al correo de compras.nal@unilibre.edu.co
Comentario: En el mes de octubre se dio inicio a la capacitación de evaluación de proveedores por SEVEN a todos los líderes de proceso académicos y administrativos que tienen centro de costos, con el fin de implementar la evaluación de proveedores en las compras o servicios de nivel crítico a partir del 2023-1, tal como lo establece el procedimiento de compras-
Cerrada y permanente: a partir del 2023-1 se realizara la capacitación y puesta en marcha de la evaluación de proveedores por sistema seven. la preparación inicial para realizar esta acción de mejora se hizo durante el año 2022 con la identificación de usuarios, asignación de claves preparación de la capacitación, entre otros .
Estado: Ejecutado
</t>
    </r>
  </si>
  <si>
    <t>SERVICIOS NO CONFORMES PRESENTADOS EN LOS PROCESOS
AÑO 2022</t>
  </si>
  <si>
    <t>94.67%</t>
  </si>
  <si>
    <t>91.25%</t>
  </si>
  <si>
    <t>1474calif. SS</t>
  </si>
  <si>
    <r>
      <t xml:space="preserve">Docencia (Facultades):
</t>
    </r>
    <r>
      <rPr>
        <b/>
        <sz val="10"/>
        <rFont val="Arial"/>
        <family val="2"/>
      </rPr>
      <t xml:space="preserve">Facciencias: </t>
    </r>
    <r>
      <rPr>
        <sz val="10"/>
        <rFont val="Arial"/>
        <family val="2"/>
      </rPr>
      <t xml:space="preserve">
</t>
    </r>
    <r>
      <rPr>
        <b/>
        <sz val="10"/>
        <rFont val="Arial"/>
        <family val="2"/>
      </rPr>
      <t xml:space="preserve">Ing : </t>
    </r>
    <r>
      <rPr>
        <sz val="10"/>
        <rFont val="Arial"/>
        <family val="2"/>
      </rPr>
      <t xml:space="preserve">
</t>
    </r>
    <r>
      <rPr>
        <b/>
        <sz val="10"/>
        <rFont val="Arial"/>
        <family val="2"/>
      </rPr>
      <t xml:space="preserve">Derecho: 15 </t>
    </r>
    <r>
      <rPr>
        <sz val="10"/>
        <rFont val="Arial"/>
        <family val="2"/>
      </rPr>
      <t xml:space="preserve">(6 quejas, 3 D.P. y 5 solicitudes - 1 felicitación)
</t>
    </r>
    <r>
      <rPr>
        <b/>
        <sz val="10"/>
        <rFont val="Arial"/>
        <family val="2"/>
      </rPr>
      <t>Ccias salud</t>
    </r>
    <r>
      <rPr>
        <sz val="10"/>
        <rFont val="Arial"/>
        <family val="2"/>
      </rPr>
      <t xml:space="preserve">: 4 Quejas 
</t>
    </r>
    <r>
      <rPr>
        <b/>
        <sz val="10"/>
        <rFont val="Arial"/>
        <family val="2"/>
      </rPr>
      <t>Ingenieríaas</t>
    </r>
    <r>
      <rPr>
        <sz val="10"/>
        <rFont val="Arial"/>
        <family val="2"/>
      </rPr>
      <t xml:space="preserve">:  1 D.P - 2 denuncia
</t>
    </r>
    <r>
      <rPr>
        <b/>
        <sz val="10"/>
        <rFont val="Arial"/>
        <family val="2"/>
      </rPr>
      <t>Facciencias</t>
    </r>
    <r>
      <rPr>
        <sz val="10"/>
        <rFont val="Arial"/>
        <family val="2"/>
      </rPr>
      <t xml:space="preserve">:  1 queja
</t>
    </r>
    <r>
      <rPr>
        <b/>
        <sz val="10"/>
        <rFont val="Arial"/>
        <family val="2"/>
      </rPr>
      <t>POSG</t>
    </r>
    <r>
      <rPr>
        <sz val="10"/>
        <rFont val="Arial"/>
        <family val="2"/>
      </rPr>
      <t>:  2 Felicitación  - 1 requerimiento - 2  quejas</t>
    </r>
  </si>
  <si>
    <t>Proyección Social
CEIDEUL: 
Bolsa de empleo:
Consultorio jurídico: 3 solicitudes + 3 quejas
Proyección social
Emprendimiento</t>
  </si>
  <si>
    <r>
      <rPr>
        <b/>
        <sz val="10"/>
        <rFont val="Arial"/>
        <family val="2"/>
      </rPr>
      <t xml:space="preserve">PRIMER SEMESTRE: </t>
    </r>
    <r>
      <rPr>
        <sz val="10"/>
        <rFont val="Arial"/>
        <family val="2"/>
      </rPr>
      <t xml:space="preserve"> Durante el primer semestre de 2022 , a través de la página web de la Universidad (KAWAK), se  presentaron 60  PQRSD en los procesos;  de los cuales 40 fueron quejas y Derechos de petición,  18  solicitudes y/o peticiones o requerimientos Y 2 FELICITACIONES:, las cuales se tramitaron a través del software KAWAK, 51 se respondieron en el tiempo establecido equivalente al 85%,   57 PQRSD se cerraron  (95%),   3 están en proceso (5%)  por techos que solicitan instalar en belmonte y que se tienen presupuestados para la vigencia 2023 )  y 3  fueron recurrentes (5%) por inconformidad en los nuevos horarios del gimnasio muy restringidos, solicitud de techos en entradas a sitios de Belmonte y  por la falta de cafetería en el edificio de posgrados (mes de mayo) . Las Tutelas se responden a través de la Secretaría Seccional y los Derechos de petición los respondieron los líderes de proceso respectivos  y se registran posteriormente en el kawak por cada una de las áreas académicas y administrativas
</t>
    </r>
    <r>
      <rPr>
        <b/>
        <sz val="10"/>
        <rFont val="Arial"/>
        <family val="2"/>
      </rPr>
      <t xml:space="preserve">DOCENCIA </t>
    </r>
    <r>
      <rPr>
        <sz val="10"/>
        <rFont val="Arial"/>
        <family val="2"/>
      </rPr>
      <t xml:space="preserve">
</t>
    </r>
    <r>
      <rPr>
        <b/>
        <sz val="10"/>
        <rFont val="Arial"/>
        <family val="2"/>
      </rPr>
      <t>* Faculta de Derecho Ciencias Políticas y Sociales</t>
    </r>
    <r>
      <rPr>
        <sz val="10"/>
        <rFont val="Arial"/>
        <family val="2"/>
      </rPr>
      <t xml:space="preserve">
</t>
    </r>
    <r>
      <rPr>
        <sz val="8"/>
        <rFont val="Arial"/>
        <family val="2"/>
      </rPr>
      <t>1. Queja para aclaración de nota
2. Solicitud de documentación enviada para el proceso de homologación optativa IV de quinto año de derecho
3. Solicitud de situación académica y plan de trabajo
4. D.P. Autorización para ver módulo de control de legalidad que debo aprobar, como prerrequisito para optar al grado de especialista en Derecho urbano gestión y planeamientos inmobiliarios
5.- 6 Queja. Docente no garantiza el derecho a presentar un parcial teniendo un problema médico 
7. Solicitud información de preparatorio
8. Reitero de solicitud de autorización para realizar posgrado como opción de grado
9. Solicitud de información Opciones de grado
10. D. Petición :  Solicitud entrega de documentos del Dr. Edardo Humberto Sanz Gutiérrez para proceso investigativo</t>
    </r>
    <r>
      <rPr>
        <sz val="10"/>
        <rFont val="Arial"/>
        <family val="2"/>
      </rPr>
      <t xml:space="preserve">
</t>
    </r>
    <r>
      <rPr>
        <b/>
        <sz val="10"/>
        <rFont val="Arial"/>
        <family val="2"/>
      </rPr>
      <t>* Facultad de Ciencias de la Salud, Exactas y Naturales</t>
    </r>
    <r>
      <rPr>
        <sz val="10"/>
        <rFont val="Arial"/>
        <family val="2"/>
      </rPr>
      <t xml:space="preserve">
</t>
    </r>
    <r>
      <rPr>
        <sz val="8"/>
        <rFont val="Arial"/>
        <family val="2"/>
      </rPr>
      <t>11. Queja por demora Ingreso al sistema de información dosis refuerzo Mi Vacuna
12. Demora en Certificado de prácticas programa de Enfermería</t>
    </r>
    <r>
      <rPr>
        <sz val="10"/>
        <rFont val="Arial"/>
        <family val="2"/>
      </rPr>
      <t xml:space="preserve">
</t>
    </r>
    <r>
      <rPr>
        <b/>
        <sz val="10"/>
        <rFont val="Arial"/>
        <family val="2"/>
      </rPr>
      <t>Facultad de Ingenierías</t>
    </r>
    <r>
      <rPr>
        <sz val="10"/>
        <rFont val="Arial"/>
        <family val="2"/>
      </rPr>
      <t xml:space="preserve">
</t>
    </r>
    <r>
      <rPr>
        <sz val="8"/>
        <rFont val="Arial"/>
        <family val="2"/>
      </rPr>
      <t>13 D. Petición :  Solicitud entrega de documentos del Dr. Eduardo Humberto Sanz Gutiérrez para proceso investigativo</t>
    </r>
    <r>
      <rPr>
        <sz val="10"/>
        <rFont val="Arial"/>
        <family val="2"/>
      </rPr>
      <t xml:space="preserve">
*</t>
    </r>
    <r>
      <rPr>
        <b/>
        <sz val="10"/>
        <rFont val="Arial"/>
        <family val="2"/>
      </rPr>
      <t xml:space="preserve"> Esp Derecho del trabajo pensiones y riesgos laborales</t>
    </r>
    <r>
      <rPr>
        <sz val="10"/>
        <rFont val="Arial"/>
        <family val="2"/>
      </rPr>
      <t xml:space="preserve">
</t>
    </r>
    <r>
      <rPr>
        <sz val="8"/>
        <rFont val="Arial"/>
        <family val="2"/>
      </rPr>
      <t>14. Felicitaciones director programa especialización derecho del trabajo pensiones y riesgos laborales</t>
    </r>
    <r>
      <rPr>
        <sz val="10"/>
        <rFont val="Arial"/>
        <family val="2"/>
      </rPr>
      <t xml:space="preserve">
</t>
    </r>
    <r>
      <rPr>
        <b/>
        <sz val="10"/>
        <rFont val="Arial"/>
        <family val="2"/>
      </rPr>
      <t>* Esp.  Derecho Urbano, Gestión y planeamientos inmobiliarios</t>
    </r>
    <r>
      <rPr>
        <sz val="10"/>
        <rFont val="Arial"/>
        <family val="2"/>
      </rPr>
      <t xml:space="preserve">
</t>
    </r>
    <r>
      <rPr>
        <sz val="8"/>
        <rFont val="Arial"/>
        <family val="2"/>
      </rPr>
      <t>15. Petición alternativas asistencia clases Esp.  Derecho Urbano, Gestión y planeamientos inmobiliarios</t>
    </r>
    <r>
      <rPr>
        <sz val="10"/>
        <rFont val="Arial"/>
        <family val="2"/>
      </rPr>
      <t xml:space="preserve">
</t>
    </r>
    <r>
      <rPr>
        <b/>
        <sz val="11"/>
        <rFont val="Arial"/>
        <family val="2"/>
      </rPr>
      <t>* Maestria en Derecho adminstrativo:</t>
    </r>
    <r>
      <rPr>
        <sz val="10"/>
        <rFont val="Arial"/>
        <family val="2"/>
      </rPr>
      <t xml:space="preserve">
</t>
    </r>
    <r>
      <rPr>
        <sz val="8"/>
        <rFont val="Arial"/>
        <family val="2"/>
      </rPr>
      <t>16. Solicitud de programación de módulo y fecha de grado</t>
    </r>
    <r>
      <rPr>
        <sz val="10"/>
        <rFont val="Arial"/>
        <family val="2"/>
      </rPr>
      <t xml:space="preserve">
</t>
    </r>
    <r>
      <rPr>
        <b/>
        <sz val="10"/>
        <rFont val="Arial"/>
        <family val="2"/>
      </rPr>
      <t/>
    </r>
  </si>
  <si>
    <r>
      <rPr>
        <b/>
        <sz val="10"/>
        <rFont val="Arial"/>
        <family val="2"/>
      </rPr>
      <t xml:space="preserve">SEGUNDO SEMESTRE:  </t>
    </r>
    <r>
      <rPr>
        <sz val="10"/>
        <rFont val="Arial"/>
        <family val="2"/>
      </rPr>
      <t>Durante el segundo semestre de 2022 , a través de la página web de la Universidad (KAWAK), se han presentado 51 PQRSD en los procesos;  de los cuales 32 han sido quejas y Derechos de petición,  18  solicitudes y/o peticiones o requerimientos y 1 felicitación:, las cuales se tramitaron a través del software KAWAK, 43 se respondieron en el tiempo establecido equivalente al 84%,   51 PQRSD se cerraron  (100%),   en proceso (0%) y 3 fueron recurrentes (5%) 1 Queja recurrrente   por falta de aire acondicionado de la biblioteca  de Belmonte  no funciona  y por  Iluminarias malas en la Biblioteca de la sede Belmonte - Estudiante de ingeniería civil - Queja por servicios de cafetería en posgrados  . Las Tutelas se responden a través de la Secretaría Seccional y los Derechos de petición los respondieron los líderes de proceso respectivos  y se registran posteriormente en el kawak por cada unade las áreas académicas y administrativas</t>
    </r>
    <r>
      <rPr>
        <b/>
        <sz val="10"/>
        <rFont val="Arial"/>
        <family val="2"/>
      </rPr>
      <t xml:space="preserve">
1. DOCENCIA
* Facultad de Ciencias Económicas, administrativas y contables</t>
    </r>
    <r>
      <rPr>
        <sz val="10"/>
        <rFont val="Arial"/>
        <family val="2"/>
      </rPr>
      <t xml:space="preserve">
   </t>
    </r>
    <r>
      <rPr>
        <sz val="8"/>
        <rFont val="Arial"/>
        <family val="2"/>
      </rPr>
      <t>Revision traslado sin respuesta desde el 27 de mayo (Administración de empresas)</t>
    </r>
    <r>
      <rPr>
        <sz val="10"/>
        <rFont val="Arial"/>
        <family val="2"/>
      </rPr>
      <t xml:space="preserve">
</t>
    </r>
    <r>
      <rPr>
        <b/>
        <sz val="10"/>
        <rFont val="Arial"/>
        <family val="2"/>
      </rPr>
      <t>Facultad de Derecho Cicencias políticas y sociales</t>
    </r>
    <r>
      <rPr>
        <sz val="10"/>
        <rFont val="Arial"/>
        <family val="2"/>
      </rPr>
      <t xml:space="preserve">
* Derecho de petición a fin de validar los requisitos de grado; certificación segunda lengua programa de Derecho
* Me he pasado varios momentos insistiendo la contestación de una llamada y ha sido fracasado el intento. Por eso de manera respetuosa le solicitó a quien corresponda que no dejes la costumbre de la comunicación vía telefónica es la más asertiva da más celeridad en los procesos y para los usuarios es mayor y mejor  la claridad la información.
* Requisito 2a. Lengua JACKSON ALEJANDRO PELAEZ CASTAÑEDA. Maestría en Derecho Penal
* Solicitud programa de formación continuada (Diplomado en conciliación y en Docencia universitaria para monitores – programa de Derecho)
* Derecho de petición:  Solicitud de corrección de nota con profesor diferente al que dio la materia
</t>
    </r>
    <r>
      <rPr>
        <b/>
        <sz val="10"/>
        <rFont val="Arial"/>
        <family val="2"/>
      </rPr>
      <t>Facultad de Ingenierías</t>
    </r>
    <r>
      <rPr>
        <sz val="10"/>
        <rFont val="Arial"/>
        <family val="2"/>
      </rPr>
      <t xml:space="preserve">
*</t>
    </r>
    <r>
      <rPr>
        <sz val="8"/>
        <rFont val="Arial"/>
        <family val="2"/>
      </rPr>
      <t xml:space="preserve"> Denuncia  contra el profesor  CESAR AUGUSTO GIRALDO, del programa ingeniería civil Seccional Pereira, por la constancia de abusos
*  No ha recibido respuesta de la denuncia  contra el profesor  CESAR AUGUSTO GIRALDO, del programa ingeniería civil Seccional Pereira, por la constancia de abusos
</t>
    </r>
    <r>
      <rPr>
        <b/>
        <sz val="10"/>
        <rFont val="Arial"/>
        <family val="2"/>
      </rPr>
      <t>Facultad de ciencias de la salud exactas y naturales</t>
    </r>
    <r>
      <rPr>
        <b/>
        <sz val="8"/>
        <rFont val="Arial"/>
        <family val="2"/>
      </rPr>
      <t xml:space="preserve">
*  </t>
    </r>
    <r>
      <rPr>
        <sz val="8"/>
        <rFont val="Arial"/>
        <family val="2"/>
      </rPr>
      <t>Ausencia de una opción dentro de la pagina (Microcurrículos)
* Queja por que no la han dado información sobre revisión carga dosis de vacunación</t>
    </r>
    <r>
      <rPr>
        <b/>
        <sz val="8"/>
        <rFont val="Arial"/>
        <family val="2"/>
      </rPr>
      <t xml:space="preserve">
</t>
    </r>
    <r>
      <rPr>
        <b/>
        <sz val="10"/>
        <rFont val="Arial"/>
        <family val="2"/>
      </rPr>
      <t>Especialización de derecho procesal probatorio y oralidad</t>
    </r>
    <r>
      <rPr>
        <sz val="10"/>
        <rFont val="Arial"/>
        <family val="2"/>
      </rPr>
      <t xml:space="preserve">
* </t>
    </r>
    <r>
      <rPr>
        <sz val="8"/>
        <rFont val="Arial"/>
        <family val="2"/>
      </rPr>
      <t>Queja contra Angela María Henao Mejía - especialización de derecho procesal probatorio y oralidad cohorte 11</t>
    </r>
    <r>
      <rPr>
        <sz val="10"/>
        <rFont val="Arial"/>
        <family val="2"/>
      </rPr>
      <t xml:space="preserve">
</t>
    </r>
    <r>
      <rPr>
        <b/>
        <sz val="10"/>
        <rFont val="Arial"/>
        <family val="2"/>
      </rPr>
      <t xml:space="preserve">
2. GESTIÓN DE ADMISIONES Y REGISTROS</t>
    </r>
    <r>
      <rPr>
        <sz val="10"/>
        <rFont val="Arial"/>
        <family val="2"/>
      </rPr>
      <t xml:space="preserve">
* </t>
    </r>
    <r>
      <rPr>
        <sz val="8"/>
        <rFont val="Arial"/>
        <family val="2"/>
      </rPr>
      <t xml:space="preserve"> No se me dejó inscribir materias de manera oportuna (Derecho semestralizado)
* Solicitud de Certificación de reporte del grado ante el Ministerio de Educación Nacional</t>
    </r>
    <r>
      <rPr>
        <sz val="10"/>
        <rFont val="Arial"/>
        <family val="2"/>
      </rPr>
      <t xml:space="preserve">
3. </t>
    </r>
    <r>
      <rPr>
        <b/>
        <sz val="10"/>
        <rFont val="Arial"/>
        <family val="2"/>
      </rPr>
      <t xml:space="preserve">GESTIÓN FINANCIERA
* </t>
    </r>
    <r>
      <rPr>
        <sz val="9"/>
        <rFont val="Arial"/>
        <family val="2"/>
      </rPr>
      <t>La tesorería no realizó el trabajo pertinente con el ICETEX(Derecho semestralizado)
* Reclamo Beca</t>
    </r>
    <r>
      <rPr>
        <sz val="10"/>
        <rFont val="Arial"/>
        <family val="2"/>
      </rPr>
      <t xml:space="preserve">
</t>
    </r>
    <r>
      <rPr>
        <b/>
        <sz val="10"/>
        <rFont val="Arial"/>
        <family val="2"/>
      </rPr>
      <t/>
    </r>
  </si>
  <si>
    <r>
      <rPr>
        <b/>
        <sz val="10"/>
        <rFont val="Arial"/>
        <family val="2"/>
      </rPr>
      <t>4. PROYECCIÓN SOCIAL</t>
    </r>
    <r>
      <rPr>
        <b/>
        <sz val="8"/>
        <rFont val="Arial"/>
        <family val="2"/>
      </rPr>
      <t xml:space="preserve">
</t>
    </r>
    <r>
      <rPr>
        <sz val="8"/>
        <rFont val="Arial"/>
        <family val="2"/>
      </rPr>
      <t>*</t>
    </r>
    <r>
      <rPr>
        <sz val="7"/>
        <rFont val="Arial"/>
        <family val="2"/>
      </rPr>
      <t xml:space="preserve"> Derecho de petición: Desde hace tiempo atrás solicite en medió en consultorio Jurídico para quee ayudará en temas relacionados en interpone una RECURSO DE acción de Tutela y nunca se comunicaron conmigo
* Solicitud de información sobre  relación de todos y cada uno de los estudiantes de la universidad libre de la ciudad de Pereira que hicieron consultorio jurídico, en la vigencia 2019, y a los que les fue autorizado o avalado la práctica al interior del Establecimiento Penitenciario de Mediana Seguridad y Carcelario de SANTA ROSA DE CAVAL como
requisito de grado para obtener el título de abogado
* Desde el día 7 diciembre a tratado de comunicarse para  Revisión casos consultorio jurídico
</t>
    </r>
    <r>
      <rPr>
        <b/>
        <sz val="8"/>
        <rFont val="Arial"/>
        <family val="2"/>
      </rPr>
      <t xml:space="preserve">5.  DIRECCIÓN ESTRATÉGICA
</t>
    </r>
    <r>
      <rPr>
        <sz val="8"/>
        <rFont val="Arial"/>
        <family val="2"/>
      </rPr>
      <t>* Solicitud Beca especialización de Administración Financiera
* D.P. Articulo 23 CP: Solicitud información sobre contrato de mantenimiento arreglos Biblioteca - Sede Centro
* D.P. Solicitud de informacion de Eco ciudadano  sobre el manejo del acoso en la Unilibre</t>
    </r>
    <r>
      <rPr>
        <b/>
        <sz val="10"/>
        <rFont val="Arial"/>
        <family val="2"/>
      </rPr>
      <t xml:space="preserve">
6.  BIENESTAR UNIVERSITARIO
</t>
    </r>
    <r>
      <rPr>
        <sz val="8"/>
        <rFont val="Arial"/>
        <family val="2"/>
      </rPr>
      <t>* Solicitud Cafetería  en posgrados - Especialización en  SEGURIDAD Y SALUD EN EL TRABAJO Y GERENCIA CONTROL DE RIESGOS
* (2) Solicitud información de asistencia a inducción estudiantes de Lucy Yvone Benavides
* Area de Egresados:  Queja no entrega carnet de egresado del programa de Derecho
*Solicitud de información  Bolsa de empleo
* (7) Queja servicio de cafetería en  Posgrados - Especialización en Seguridad y Salud en el trabajo</t>
    </r>
    <r>
      <rPr>
        <b/>
        <sz val="8"/>
        <rFont val="Arial"/>
        <family val="2"/>
      </rPr>
      <t xml:space="preserve">
</t>
    </r>
    <r>
      <rPr>
        <b/>
        <sz val="10"/>
        <rFont val="Arial"/>
        <family val="2"/>
      </rPr>
      <t>7. INVESTIGACIÓN:</t>
    </r>
    <r>
      <rPr>
        <sz val="10"/>
        <rFont val="Arial"/>
        <family val="2"/>
      </rPr>
      <t xml:space="preserve">
•</t>
    </r>
    <r>
      <rPr>
        <sz val="8"/>
        <rFont val="Arial"/>
        <family val="2"/>
      </rPr>
      <t xml:space="preserve"> Derecho de petición -Solicitud de evaluaciones docentes 2020 al 2022 y reconocimiento por clasificación como investigador (Facultad de Ciencias Económicas, administrativas y contables)
• Derecho de petición - Solicitud información sobre convocatoria de jovénes investigadores 2021 </t>
    </r>
    <r>
      <rPr>
        <sz val="10"/>
        <rFont val="Arial"/>
        <family val="2"/>
      </rPr>
      <t xml:space="preserve">
</t>
    </r>
    <r>
      <rPr>
        <b/>
        <sz val="10"/>
        <rFont val="Arial"/>
        <family val="2"/>
      </rPr>
      <t>8. INTERNACIONALIZACIÓN</t>
    </r>
    <r>
      <rPr>
        <sz val="10"/>
        <rFont val="Arial"/>
        <family val="2"/>
      </rPr>
      <t xml:space="preserve">:
</t>
    </r>
    <r>
      <rPr>
        <sz val="8"/>
        <rFont val="Arial"/>
        <family val="2"/>
      </rPr>
      <t xml:space="preserve">*Solicitud de intercambio académico en la Universidad Autónoma de Chiapas- Programa de trabajo social
</t>
    </r>
    <r>
      <rPr>
        <b/>
        <sz val="10"/>
        <rFont val="Arial"/>
        <family val="2"/>
      </rPr>
      <t>9. GESTIÓN DE BIBLIOTECA</t>
    </r>
    <r>
      <rPr>
        <sz val="10"/>
        <rFont val="Arial"/>
        <family val="2"/>
      </rPr>
      <t xml:space="preserve">
</t>
    </r>
    <r>
      <rPr>
        <sz val="8"/>
        <rFont val="Arial"/>
        <family val="2"/>
      </rPr>
      <t>Comodidades biblioteca</t>
    </r>
    <r>
      <rPr>
        <sz val="10"/>
        <rFont val="Arial"/>
        <family val="2"/>
      </rPr>
      <t xml:space="preserve">
</t>
    </r>
    <r>
      <rPr>
        <b/>
        <sz val="10"/>
        <rFont val="Arial"/>
        <family val="2"/>
      </rPr>
      <t>10.  SERVICIOS GENERALES</t>
    </r>
    <r>
      <rPr>
        <sz val="10"/>
        <rFont val="Arial"/>
        <family val="2"/>
      </rPr>
      <t xml:space="preserve">
</t>
    </r>
    <r>
      <rPr>
        <sz val="8"/>
        <rFont val="Arial"/>
        <family val="2"/>
      </rPr>
      <t>*</t>
    </r>
    <r>
      <rPr>
        <sz val="7"/>
        <rFont val="Arial"/>
        <family val="2"/>
      </rPr>
      <t xml:space="preserve"> Falta de aire acondicionado en la Biblioteca - Ingenieria civil
* Falta de aire acondicionado en la Biblioteca - Ingenieria civil
* Aire acondicionado de biblioteca no funciona - Ingenieria civil
* Aire acondicionado de biblioteca- Ingenieria civil
*  Inconformidad por falta de aire acondicionado en la Biblioteca de Belmonte
* Queja por falta de aire acondicionado de la biblioteca no funciona
* (3) Iluminarias malas en la Biblioteca de la sede Belmonte 
* Solicitud de habilitación de parqueaderos de automóviles sede centro
* Solicitud cargadores eléctricos para bicicletas eléctricas - Ing. Financiera</t>
    </r>
  </si>
  <si>
    <t>X</t>
  </si>
  <si>
    <t>GRADUADOS Y BOLSA DE EMPLEO</t>
  </si>
  <si>
    <r>
      <rPr>
        <b/>
        <sz val="16"/>
        <rFont val="Arial"/>
        <family val="2"/>
      </rPr>
      <t>PRIMER SEMESTRE DE 2022</t>
    </r>
    <r>
      <rPr>
        <sz val="16"/>
        <rFont val="Arial"/>
        <family val="2"/>
      </rPr>
      <t>: Durante el primer semestre del año 2022, a través de las herramientas que ofrece la Seccional,1206 usuarios  calificaron el servicio brindado en los procesos, con un porcentaje de calificación  del 97,28%. se tienen herramientas para calificación como página web, buzones físicos, adviser y pantallas digitales ubicados en sitios estratégicos de la universidad, la herramienta más utilizada por los usuarios es la página web y la mesa de ayuda  para el proceso e Gestión de informática. Es importante resaltar que el mayor número de usuarios que calificaron el servicio fue en Consultorio jurídico y centro de conciliacion, Gestion de admisiones y registros, Servicios generales  y Biblioteca.</t>
    </r>
  </si>
  <si>
    <r>
      <rPr>
        <b/>
        <sz val="16"/>
        <rFont val="Arial"/>
        <family val="2"/>
      </rPr>
      <t>SEGUNDO SEMESTRE DE 2022</t>
    </r>
    <r>
      <rPr>
        <sz val="16"/>
        <rFont val="Arial"/>
        <family val="2"/>
      </rPr>
      <t>: Durante el segundo semestre del año 2022, a través de las herramientas que ofrece la Seccional,1610 usuarios  han calificado el servicio brindado en los procesos, con un porcentaje de satisfacción del del 96,94%.  Las calificaciones del servicio en la seccional han tenido muestras muy significativas en algunos procesos, donde se tienen herramientas para calificación como página web y  adviser , y la mesa de ayuda  para el proceso e Gestión de informática. Es importante resaltar que el mayor número de usuarios que ha calificado el servicio  han sido: Proyección social - Consultorio jurídico  y centro de conciliacion-  DOCENCIA - Facultad de ciencias de la salud exactas y naturales,  Gestion de admisiones y registros, Gestión de Informática  y Gestión de Informática.</t>
    </r>
  </si>
  <si>
    <r>
      <rPr>
        <b/>
        <sz val="16"/>
        <rFont val="Arial"/>
        <family val="2"/>
      </rPr>
      <t>AÑO 2022</t>
    </r>
    <r>
      <rPr>
        <sz val="16"/>
        <rFont val="Arial"/>
        <family val="2"/>
      </rPr>
      <t>: El total de calificaciones del servicio presentadas por los usuarios durante la vigencia fue de 2.816, con un porcentaje de satisfacción del 97,11%, muestra muy significativa en la seccional</t>
    </r>
  </si>
  <si>
    <t>Id 395. Gestión Programas Acreditados. Seccional Pereira</t>
  </si>
  <si>
    <t>97,96%</t>
  </si>
  <si>
    <t>98,96%</t>
  </si>
  <si>
    <t>80,56%</t>
  </si>
  <si>
    <t>Id 740. Cumplimiento Plan de Trabajo SG-SST</t>
  </si>
  <si>
    <r>
      <rPr>
        <b/>
        <sz val="11"/>
        <rFont val="Calibri"/>
        <family val="2"/>
      </rPr>
      <t>AÑO 2022</t>
    </r>
    <r>
      <rPr>
        <b/>
        <sz val="6"/>
        <rFont val="Calibri"/>
        <family val="2"/>
      </rPr>
      <t>:</t>
    </r>
    <r>
      <rPr>
        <sz val="6"/>
        <rFont val="Calibri"/>
        <family val="2"/>
      </rPr>
      <t xml:space="preserve">  Durante la vigencia 2022, a través de la página web de la Universidad (KAWAK), se presentaron 111 PQRS en los procesos; de los cuales 72 corresponden a quejas y derechos de petición, y 39 solicitudes en los siguientes procesos:  Respondidas en el tiempo establecido:  94 (85%)- Cerradas:  108 (97%) - Recurrentes 6 (5%) - En proceso: 3 (3%)
DOCENCIA 
* Faculta de Derecho Ciencias Políticas y Sociales
1. Aclaración de nota
2. Solicitud de documentación enviada para el proceso de homologación optativa IV de quinto año de derecho
3. SOLICITUD DE SITUACION ACADEMICA Y PLAN DE TRABAJO
4. Reitero de solicitud de autorización para realizar posgrado como opción de grado
5. Autorización para ver módulo de control de legalidad que debo aprobar, como prerrequisito para optar al grado de especialista en Derecho urbano gestión y planeamientos inmobiliarios
6. Docente no garantiza el derecho a presentar un parcial teniendo un problema médico 
7. Docente no garantiza el derecho a presentar un parcial teniendo un problema médico 
8. Solicitud de información de preparatorios
9. Solicitud de información opciones de grado
10. Felicitaciones al Doctor Nicolás Alberto Mejía
11. Derecho de petición a fin de validar los requisitos de grado; certificación segunda lengua programa de Derecho
12. Me he pasado varios momentos insistiendo la contestación de una llamada y ha sido fracasado el intento. Por eso de manera respetuosa le solicitó a quien corresponda que no dejes la costumbre de la comunicación vía telefónica es la más asertiva da más celeridad en los procesos y para los usuarios es mayor y mejor la claridad la información.
13. Requisito 2a. Lengua JACKSON ALEJANDRO PELAEZ CASTAÑEDA. Maestría en Derecho Penal
14. Solicitud programa de formación continuada (Diplomado en conciliación y en Docencia universitaria para monitores – programa de Derecho)
15 Manifestacion de agradecimiento
16. Derecho de petición:  Solicitud de corrección de nota con profesor diferente al que dio la materia
* Facultad de Ciencias de la Salud, Exactas y Naturales
17. Queja por demora Ingreso al sistema de información dosis refuerzo Mi Vacuna
18. Demora en Certificado de prácticas programa de Enfermería
19. Ausencia de una opción dentro de la pagina (Microcurrículos)
20. Queja por que no la han dado información sobre revisión carga dosis de vacunación
* Facultad de Ciencias Económicas, administrativas y contables
21. Revision traslado sin respuesta desde el 27 de mayo (Administración de empresas)
Facultad de Ingenierías
22 Denuncia  contra el profesor  CESAR AUGUSTO GIRALDO, del programa ingeniería civil Seccional Pereira, por la constancia de abusos
23. D. Petición :  Solicitud entrega de documentos del Dr. Eduardo Humberto Sanz Gutiérrez para proceso investigativo
24. No ha recibido respuesta de la denuncia  contra el profesor  CESAR AUGUSTO GIRALDO, del programa ingeniería civil Seccional Pereira, por la constancia de abusos
* Esp Derecho del trabajo pensiones y riesgos laborales
25. Felicitaciones director programa especialización derecho del trabajo pensiones y riesgos laborales
* Esp.  Derecho Urbano, Gestión y planeamientos inmobiliarios
26. Petición alternativas asistencia clases Esp.  Derecho Urbano, Gestión y planeamientos inmobiliarios
* Especialización de derecho procesal probatorio y oralidad
27. Queja contra Angela María Henao Mejía - especialización de derecho procesal probatorio y oralidad cohorte 11
* Maestria en Derecho adminstrativo:
28. Solicitud de programación de módulo y fecha de grado
INVESTIGACIONES
* Solicitud de Investigación y propuesta de Proyecto de Ley:  Pérdida de bienes raíces a causa de la violencia armada y las guerras
* Derecho de petición: Solicitud información frente a la convocatoria joven investigador
• Derecho de petición -Solicitud de evaluaciones docentes 2020 al 2022 y reconocimiento por clasificación como investigador (Facultad de Ciencias Económicas, administrativas y contables)
• Derecho de petición - Solicitud información sobre convocatoria de jovénes investigadores 2021 
INTERNACIONALIZACIÓN:  
Solicitud de intercambio académico en la Universidad Autónoma de Chiapas- Programa de trabajo social
PROYECCIÓN SOCIAL
* Consultorio Jurídico y centro de conciliación
1. Solicitud de asesoría jurídica y psicológica
2. Necesito me recomiende un Abogado Penalista. He sido estafada mediante Tarjeta de Crédito.
3. Derecho de petición: Desde hace tiempo atrás solicite en medió en consultorio Jurídico para quee ayudará en temas relacionados en interpone una RECURSO DE acción de Tutela y nunca se comunicaron conmigo
4. Solicitud de información sobre  relación de todos y cada uno de los estudiantes de la
universidad libre de la ciudad de Pereira que hicieron consultorio jurídico, en la vigencia
2019, y a los que les fue autorizado o avalado la práctica al interior del Establecimiento
Penitenciario de Mediana Seguridad y Carcelario de SANTA ROSA DE CAVAL como
requisito de grado para obtener el título de abogado
5. Queja para la estudiante Consultorio Jurídico Aixa Daniela Toro Valencia.
BIENESTAR UNIVERSITARIO
1. Solicitud información Proyecto Circulo virtuoso (Bolsa de empleo)
2. D.P.  para modificación horario o extender del gimnasio (Enfermería)
3. D.P.  para modificación horario o extender del gimnasio (Ing Civil)
4. D.P.  para modificación horario o extender del gimnasio (Ing Comercial)
5. D.P.  para modificación horario o extender del gimnasio (Ing Civil)
6. D.P.  para modificación horario o extender del gimnasio (Ing Civil)
7. D.P.  para modificación horario o extender del gimnasio (Ing Civil)
8. D.P.  para modificación horario o extender del gimnasio (Derecho)
9. D.P.  para modificación horario o extender del gimnasio (Ing Civil)
10. D.P.  para modificación horario o extender del gimnasio (Ing Civil)
11. D.P.  para modificación horario o extender del gimnasio (Ing Civil)
12. D.P.  para modificación horario o extender del gimnasio (Ing Civil)
13. Derecho de petición para modificación horario o extender del gimnasio (Ing Civil)
14. D.P.  para modificación horario o extender del gimnasio (Ing Civil)
15. D.P.  para modificación horario o extender del gimnasio (Ing Civil)
16. Requerimiento Ampliación de horario del gimnasio -  Facultad de Ciencias económicas, administrativas y contables
17. Sugerencia acciones de mejora: Cafeteria, baños, parqueadero
18. Queja y solicitud habilitación de Cafetería edificios posgrados - Especialización en Derecho Procesal
19. Precios altos  de la Cafetería - Estudiante de Ing. Comercial
20. Solicitud Cafetería  en posgrados - Especialización Laboral , Pensiones y Riesgos
21.  Solicitud Cafetería  en posgrados - Especialización en  SEGURIDAD Y SALUD EN EL TRABAJO Y GERENCIA CONTROL DE RIESGOS
22 -23. Solicitud información de asistencia a inducción estudiantes de Lucy Yvone Benavides
24. Area de Egresados:  Queja no entrega carnet de egresado del programa de Derecho
25. Solicitud de información  Bolsa de empleo
26 - 27 - 28- 29 - 30 - 31 - 32. Queja servicio de cafetería en  Posgrados - Especialización en Seguridad y Salud en el trabajo
GESTIÓN HUMANA
1. D.P. Solicitud copia de expediente (Enviado por correo electrónico)
2. D.P. Solicitud de certificación electrónicos de tiempos laborados (Enviado por correo electrónico)
3. Derecho de petición semanas aportadas al sistema pensional
GESTIÓN FINANCIERA
1. La tesorería no realizó el trabajo pertinente con el ICETEX(Derecho semestralizado)
2. Reclamo Beca
GESTIÓN DE ADMISIONES Y REGISTROS
• Queja por Inconveniente de inscripción
• Queja por Demora en la entrega o envió de contenidos de materias solicitados
• Solicitud información Verificación de título
* Solicitud de información para solicitar  siguientes documentos que requiere por tramite que debo realizar para viaje al extranjero
* Solicitud de validación de acta de grado  Especialista en salud ocupacional, gerencia y control de riesgos
• Mi inscripción no deja culminarla especialización en derecho procesal 
*  No se me dejó inscribir materias de manera oportuna (Derecho semestralizado)
* Requisito 2a. Lengua  JACKSON ALEJANDRO PELAEZ CASTAÑEDA. Maestría en Derecho Penal
* Solicitud de Certificación de reporte del grado ante el Ministerio de Educación Nacional
* Revisión y ayuda para envío certificado - Programa de Enfermería
GESTIÓN DE INFORMÁTICA
1. Queja por no alistamiento de equipo y demora en el inicio del portátil
2. Queja por correos peligrosos
3. Problemas de autenticación correo institucional
GESTIÓN DE SERVICIOS GENERALES
• Queja por falta de techo peatonal sede Belmonte
* Mantenimiento por goteo en salón 301 de posgrados
* Solicitud de mesa de bebidas en aula de postgrado Alta Gerencia
* Petición instalación techo: Adecuar el camino desde la portería de Belmonte hasta el bloque de laboratorio
* Petición instalación techo: techo que cubra nuestro paso desde la entrada principal de Belmonte hasta el bloque C.
* (6) Falta de aire acondicionado en la Biblioteca - Ingenieria civil 
* Iluminarias malas en la Biblioteca de la sede Belmonte 
* (3) Iluminarias malas en la Biblioteca de la sede Belmonte - Estudiante de ingeniería civil 
* Solicitud de habilitación de parqueaderos de automóviles sede centro
* Solicitud cargadores eléctricos para bicicletas eléctricas - Ing. Financiera
GESTIÓN DE BIBLIOTECA
Comodidades biblioteca
DIRECCIÓN ESTRATÉGICA
* 1. D.P. Solicitud de información sobre costo de servicios contratados
*  Invitación al “1er foro DIVERSIDAD como motor del desarrollo turístico de la región"
* Solicitud beca
* D.P. Articulo 23 CP: Solicitud información sobre contrato de mantenimiento arreglos Biblioteca - Sede Centro
* D.P. Solicitud de informacion de Eco ciudadano  sobre el manejo del acoso en la Unilibre
</t>
    </r>
  </si>
  <si>
    <t>AÑO 2022</t>
  </si>
  <si>
    <r>
      <rPr>
        <b/>
        <sz val="11"/>
        <rFont val="Calibri"/>
        <family val="2"/>
        <scheme val="minor"/>
      </rPr>
      <t xml:space="preserve">Cerrada y permanente: </t>
    </r>
    <r>
      <rPr>
        <sz val="11"/>
        <rFont val="Calibri"/>
        <family val="2"/>
        <scheme val="minor"/>
      </rPr>
      <t xml:space="preserve">En este proyecto de Unimarket se realizan actividades permanentes que propenden por brindar ayuda desde la universidad para la dinamización de cada emprendedor para promocionar sus productos y servicios.
A la fecha el proyecto Unimarket cuenta con la participación de 46 emprendedores.
En el ultimo trimestre se han llevado a cabo actividades como de saloneo con el fin de reclutar mas emprendedores, se ha tenido la participación en la escuela de liderazgo, de 5 emprendedores aproximadamente.
Se encuentra pendiente el taller de marca personal
Para el primer semestre de 2022, en el proyecto de Unimarket que han realizado las siguientes actividades:
1. Se realizaron dos conferencias de la ley del consumidor dirigidas a la comunidad unilibrista
2. Se inicio y está en marcha la elaboración del Hosting por parte de un estudiante del programa de ing.. de sistemas coo proyecto de grado para que la página funcione como una plataforma de comercio electrónico
</t>
    </r>
  </si>
  <si>
    <t xml:space="preserve">En la Seccional  durante el año 2022, se  identificaron  21 riesgos y  21  oportunidades para mitigar o eliminar los riesgos de tipo estratégico (3), operativo (10), tecnológico (3), normativo (4) y financiero (1), los cuales se encuentran registrados en el kawak  con un porcentaje de mitigación del 90,48%.  Los dos riesgos que aún se encuentran en proceso de mitigación y que continúan con el plan de tratamiento  son:
1. Riesgo: No acreditación del laboratorio de investigación del programa de Microbiologíaen ISO 17025
2. Riesgo: Que no se obtenga la certificación del centro de conciliación del consultorio jurídico bajo la norma NTC5906 de 2012
</t>
  </si>
  <si>
    <r>
      <rPr>
        <b/>
        <sz val="11"/>
        <rFont val="Calibri"/>
        <family val="2"/>
        <scheme val="minor"/>
      </rPr>
      <t>Cerrada y permanente:</t>
    </r>
    <r>
      <rPr>
        <sz val="11"/>
        <rFont val="Calibri"/>
        <family val="2"/>
        <scheme val="minor"/>
      </rPr>
      <t xml:space="preserve">   Para la vigencia 2022 se tubo una participación de 47 emprendedores en el proyecto Unimarket , logrando para ellos mayor visibilidad y posicionamiento .
Estado: Ejecutado
Para el primer semestre de 2022, en el proyecto de Unimarket que han realizado las siguientes actividades:
1. Se realizaron dos conferencias de la ley del consumidor dirigidas a la comunidad unilibrista
2. Se inicio y está en marcha la elaboración del Hosting por parte de un estudiante del programa de ing.. de sistemas coo proyecto de grado para que la página funcione como una plataforma de comercio electrónico
En proceso (90%): En este proyecto de Unimarket se realizan actividades permanentes que propenden por brindar ayuda desde la universidad para la dinamización de cada emprendedor para promocionar sus productos y servicios.
A la fecha el proyecto Unimarket cuenta con la participación de 46 emprendedores.
En el ultimo trimestre se han llevado a cabo actividades como de saloneo con el fin de reclutar mas emprendedores, se ha tenido la participación en la escuela de liderazgo, de 5 emprendedores aproximadamente.
Se encuentra pendiente el taller de marca personal</t>
    </r>
  </si>
  <si>
    <r>
      <rPr>
        <b/>
        <sz val="11"/>
        <rFont val="Calibri"/>
        <family val="2"/>
        <scheme val="minor"/>
      </rPr>
      <t xml:space="preserve">Cerrada y permanente:  </t>
    </r>
    <r>
      <rPr>
        <sz val="11"/>
        <rFont val="Calibri"/>
        <family val="2"/>
        <scheme val="minor"/>
      </rPr>
      <t>Durante la vigencia 2022, se logro que la alta dirección avalara el proyecto de Salas amigables de lactancia para la sede de Belmonte, la cual se ubicó en el bloque A.
Estado: Ejecutado</t>
    </r>
  </si>
  <si>
    <r>
      <rPr>
        <b/>
        <sz val="16"/>
        <rFont val="Arial"/>
        <family val="2"/>
      </rPr>
      <t>2022</t>
    </r>
    <r>
      <rPr>
        <sz val="16"/>
        <rFont val="Arial"/>
        <family val="2"/>
      </rPr>
      <t xml:space="preserve">:  Se identificaron 51 cambios en los procesos de tipo:  Normativo: 12 -  Procesos y/o Métodos de Trabajo.: 26 - Tecnológico: 7 - Recurso Humano: 0 - Infraestructura, instalaciones y equipos: 5. Cambio en los servicios:1. Documental 0.   De los anteriores cambios se formularon 153 actividades en el plan de implementación de cambios  de las cuales 149 se han ejecutado, equivalente al 97,39% de cumplimiento.  Lo anterior a través del sistema de información de calidad KAWAK.  Los cambios pendientes por ejecutar al 100%, los cuales continuarán hasta su ejecución durante la vigencia 2023:  
1. Adecuación y puesta en marcha del programa de residuos de posconsumo en la seccional
2. Alistamiento para Certificar la Universidad en la ISO14001:2015
3. Ampliación del lugar de desarrollo del programa de Ingeniería Civil (Obtención resolución de modificación de registro calificado MEN)
4. Dotación tecnológica de los laboratorios especializados de Ing.Comercial, Financiera y Sistemas (Mejorar los procesos de docencia e  investigación)
</t>
    </r>
  </si>
  <si>
    <t>OPORTUNIDADES DE MEJORA FORMULADAS:  54</t>
  </si>
  <si>
    <t>OPORTUNIDADES DE MEJORA IMPLEENTADAS:  54</t>
  </si>
  <si>
    <t xml:space="preserve">CUMPLIMIENTO:  </t>
  </si>
  <si>
    <t>ENCUESTA DE SATISFACCIÓN 2021</t>
  </si>
  <si>
    <t>Id 690. Días Promedio para el Trámite de Convenios Institucionales (Acuerdo).</t>
  </si>
  <si>
    <t>Total Solicitudes de Convenios Institucionales Atendidas dentro de los Tiempos Establecidos./Total Solicitudes de Convenios Institucionales Presentadas Durante el Periodo.</t>
  </si>
  <si>
    <t>Id 691. Elaboración y Entrega Oportuna Certificados de Equivalencias Internacionales. (Acuerdo)</t>
  </si>
  <si>
    <t xml:space="preserve">N° de Certificados de Equivalencias Internacionales Entregados en los Tiempos Establecidos/ N° de Solicitudes de Certificados de Equivalencias Internacionales Presentadas en el Periodo. </t>
  </si>
  <si>
    <t>Id 692. Elaboración y Entrega Oportuna de Certificados Internacionales a través de la Plataformas LSAC, WES. (Acuerdo)</t>
  </si>
  <si>
    <t>Certificados Internacionales Elaborados y Cargados en la Plataforma WES, LSAC dentro de los Tiempos Establecidos./ Total Solicitudes de Certificados Internacionales Presentados en el Periodo</t>
  </si>
  <si>
    <t>Id 693. Días Promedio para el Trámite de Movilidad Académica y Administrativa con Solicitud de Recursos (Acuerdo).</t>
  </si>
  <si>
    <t xml:space="preserve">Total Solicitudes de Movilidad Académica y Administrativa con Solicitud de Recursos, Atendidos Dentro de los Tiempos Establecidos. / Total Solicitudes de Movilidad Académica y Administrativa con Solicitud de Recursos, Presentados Durante el Periodo. </t>
  </si>
  <si>
    <t>Generación de Residuos</t>
  </si>
  <si>
    <t>Generación de Residuos Sólidos Ordinarios/Orgánicos/No aprovechables</t>
  </si>
  <si>
    <t>Generación de Residuos Aprovechables</t>
  </si>
  <si>
    <t>Generación residuos de tratamiento</t>
  </si>
  <si>
    <t>Generación de RESPEL</t>
  </si>
  <si>
    <t>Generación de Residuos Hospitalarios</t>
  </si>
  <si>
    <t>Generación Per-Cápita</t>
  </si>
  <si>
    <t>Actividades programadas en el lavado de tanques</t>
  </si>
  <si>
    <t>Actividades programadas para el control de plagas</t>
  </si>
  <si>
    <t>Cumplimiento Objetivos 
2022-1</t>
  </si>
  <si>
    <t>Cumplimiento Objetivos 
2022-2</t>
  </si>
  <si>
    <t>Año 2022</t>
  </si>
  <si>
    <t>20 indicadores de acuerdos de servicio  medidos</t>
  </si>
  <si>
    <t>Id 417 No. de docentes con mayor nivel de formación con Doctorado y Maestría / Total docentes de la facultad de Ciencias de la Salud Exactas y Naturales</t>
  </si>
  <si>
    <t>Id 417 No. de docentes con mayor nivel de formación con Doctorado y Maestría / Total docentes de la facultad de Ciencias Económicas, administrativas y contables</t>
  </si>
  <si>
    <t>Id 417 No. de docentes con mayor nivel de formación con Doctorado y Maestría / Total docentes de la facultad de Derecho Ciencias Políticas y sociales</t>
  </si>
  <si>
    <t>Id 417  No. de docentes con mayor nivel de formación con Doctorado y Maestría / Total docentes de la facultad de Ingenierías</t>
  </si>
  <si>
    <t>Id 417  No. de docentes con mayor nivel de formación con Doctorado y Maestría / Total docentes de la facultad de Ciencias de la Salud Exactas y Naturales</t>
  </si>
  <si>
    <t>Id 417  No. de docentes con mayor nivel de formación con Doctorado y Maestría / Total docentes de la facultad de Ciencias Económicas, administrativas y contables</t>
  </si>
  <si>
    <t>Id 417 No. de docentes con mayor nivel de formación con Doctorado y Maestría / Total docentes de la facultad de Ingenierías</t>
  </si>
  <si>
    <r>
      <t xml:space="preserve">GESTION DE ADMISIONES Y REGISTROS
</t>
    </r>
    <r>
      <rPr>
        <sz val="8"/>
        <rFont val="Arial"/>
        <family val="2"/>
      </rPr>
      <t>(Sede Centro y Belmonte)</t>
    </r>
  </si>
  <si>
    <r>
      <t xml:space="preserve">BIBLIOTECA
</t>
    </r>
    <r>
      <rPr>
        <sz val="10"/>
        <rFont val="Arial"/>
        <family val="2"/>
      </rPr>
      <t>(Sede Centro y Belmonte)</t>
    </r>
  </si>
  <si>
    <r>
      <t xml:space="preserve">BIENESTAR UNIVERSITARIO
</t>
    </r>
    <r>
      <rPr>
        <sz val="10"/>
        <rFont val="Arial"/>
        <family val="2"/>
      </rPr>
      <t>(Sede Centro y Belmonte)</t>
    </r>
  </si>
  <si>
    <r>
      <t xml:space="preserve">GESTION DE SERVICIOS GENERALES 
</t>
    </r>
    <r>
      <rPr>
        <sz val="8"/>
        <rFont val="Arial"/>
        <family val="2"/>
      </rPr>
      <t>(Sede Centro y Belmonte)</t>
    </r>
  </si>
  <si>
    <r>
      <rPr>
        <b/>
        <sz val="10"/>
        <rFont val="Calibri"/>
        <family val="2"/>
      </rPr>
      <t>Año 2022:</t>
    </r>
    <r>
      <rPr>
        <sz val="7"/>
        <rFont val="Calibri"/>
        <family val="2"/>
      </rPr>
      <t xml:space="preserve">  Durante el año 2022, se midieron 20 indicadores de acuerdos de servicio en los procesos administrativos, de los cuales 2 no cumplieron con la meta estándar nacional, pero sí con el rango bueno, equivalente al 90% en los procesos de aseguramiento de la calidad y Gestión Financiera:  Id 642. Aprobación de Documentos en el SIC dentro de los tiempos establecidos por el SIG, se incumplió debido a que en el sistema de kawak se requiere la aprobación y visto bueno por parte del líder de proceso antes del tiempo estipulado en el correo electrónico que envía la sede principal y ello ocasiona discrepancia en los tiempos, lo que no permite que se cumpla con la meta del indicador, como acción de mejora la sede principal envía a las seccionales los pendientes por aprobación con anticipación que contribuye a mejorar el cumplimiento de dichos tiempos y el indicador Id 432. Días Promedio Para el Trámite De Cuentas Giradas y/o Pagadas (Acuerdo), se debió entre otras a  razones como: Por cierre de año se recibieron facturas y documentos soportes desde el mes de noviembre y el pago se realizó en diciembre, por actas pendientes de recibido, aportes a la seguridad social y certificado del revisor fiscal de las empresas jurídicas, el indicador se afecta con las facturas electrónicas radicadas al inicio del mes y sólo se pueden pagar cuando se ha recibido a satisfacción el servicio al final de mes, igual con los proveedores que dan crédito a 30 días. ejemplo: Mantenimiento Ascensores, plantas, purificadores, servicio de vigilancia privada, servicio de Aseo. Las devoluciones de saldo a favor cuentan con un tiempo de 30 días para realizarlas.
Los acuerdos de servicios medidos se desagregan por periodicidad, así:
</t>
    </r>
    <r>
      <rPr>
        <b/>
        <sz val="7"/>
        <rFont val="Calibri"/>
        <family val="2"/>
      </rPr>
      <t xml:space="preserve">Acuerdos Mensuales: </t>
    </r>
    <r>
      <rPr>
        <sz val="7"/>
        <rFont val="Calibri"/>
        <family val="2"/>
      </rPr>
      <t xml:space="preserve">
1. ID 169: Días promedio para el trámite de cuentas por pagar
2. Id 306. Días Promedio para el Trámite de Cuentas Radicadas (Acuerdo) Seccional Pereira
3. Id 307. Días Promedio Para El Trámite de Cuentas Causadas y/o Registradas (Acuerdo). Seccional Pereira
4. Id 432. Días Promedio Para el Trámite De Cuentas Giradas y/o Pagadas (Acuerdo). Seccional Pereira
5. ID 354 Verificación del correcto funcionamiento de los equipos de cómputo al servicio de docentes y estudiantes (acuerdo)  
6. ID 355: Incidentes atendidos a los equipos de cómputo al servicio de docentes y estudiantes (Acuerdo) 
7. ID 353 Atención a requerimientos audiovisuales 
8. ID 193: Servicio de búsqueda y préstamo de Documentos (acuerdo)  
</t>
    </r>
    <r>
      <rPr>
        <b/>
        <sz val="7"/>
        <rFont val="Calibri"/>
        <family val="2"/>
      </rPr>
      <t>Trimestrales:</t>
    </r>
    <r>
      <rPr>
        <sz val="7"/>
        <rFont val="Calibri"/>
        <family val="2"/>
      </rPr>
      <t xml:space="preserve">
Id 642. Aprobación de Documentos en el SIC dentro de los tiempos establecidos por el SIG.
ID 308 Asignación de disponibilidad presupuestal (Acuerdo)  
</t>
    </r>
    <r>
      <rPr>
        <b/>
        <sz val="7"/>
        <rFont val="Calibri"/>
        <family val="2"/>
      </rPr>
      <t>Semestrales:</t>
    </r>
    <r>
      <rPr>
        <sz val="7"/>
        <rFont val="Calibri"/>
        <family val="2"/>
      </rPr>
      <t xml:space="preserve">
1. Id 142. Elaboración y entrega oportuna de las certificaciones y constancias académicas (Acuerdo) 
2. Id 141.Confiabilidad en la información de los certificados (AS)  
3. Id 156.  Días promedio para el Trámite de solicitudes  Compras por rango (Acuerdo)  
4. Id 108.  Atención médica y/o primaria en Enfermería (Acuerdo) 
5. Id 109. Atención Servicio de Psicología (Acuerdo) Seccional Pereira
6. Id 230. Expedición de certificaciones laborales Físicas (Acuerdo) Seccional Pereira
7. ID 380  Servicio de mantenimiento (Acuerdo) 
8. Id 383. Servicio de correspondencia (acuerdo de servicio)
</t>
    </r>
    <r>
      <rPr>
        <b/>
        <sz val="7"/>
        <rFont val="Calibri"/>
        <family val="2"/>
      </rPr>
      <t xml:space="preserve">Anuales:  </t>
    </r>
    <r>
      <rPr>
        <sz val="7"/>
        <rFont val="Calibri"/>
        <family val="2"/>
      </rPr>
      <t xml:space="preserve">
ID 735 Índice de crecimiento en el número de títulos adquiridos . Seccional Pereira(AS)    
Id 274. Proporción de volúmenes por alumno (AS)   
</t>
    </r>
  </si>
  <si>
    <r>
      <rPr>
        <b/>
        <sz val="7"/>
        <rFont val="Calibri"/>
        <family val="2"/>
      </rPr>
      <t>Semestrales (36):</t>
    </r>
    <r>
      <rPr>
        <sz val="6"/>
        <rFont val="Calibri"/>
        <family val="2"/>
      </rPr>
      <t xml:space="preserve">
Id 143. Oportunidad en la entrega de notas
Id 157. Oportunidad en la entrega Seccional Pereira
Id 168. Cumplimiento (está relacionado con el grado de consecución de tareas y/o actividades de la auditoría Interna) Seccional Pereira
Id 272. Oportunidad en la inducción
484 - Nivel de consulta de recursos virtuales de las bases de datos de la Seccional Pereira
Id 106. Participación en programas de Salud Seccional Pereira
Id 107. Participación en programas Desarrollo Humano Seccional Pereira
Id 104. Participación en acciones culturales Seccional Pereira
Id 103. Participación en acciones deportivas y recreativas Seccional Pereira
Id 502. Participación en acciones de promoción socio-económica de la Seccional Pereira 
Id 509. Porcentaje de Beneficiados con Recursos (Económicos, Tecnológicos, otros) Seccional Pereira
Id 517. Participación de Egresados en Actividades Institucionales y/o Académicas. Sede Pereira
Id 523. Número de Graduados Vinculados en el Mercado Laboral (Mediante la Bolsa de Empleo). Sede Pereira
Id 529. Actualización de Bases de Datos de Egresados. Sede Pereira
Id 630. Participación de Egresados en Actividades de Bienestar. Seccional Pereira
ID 5 Quejas recurrentes por proceso
ID 6 Quejas cerradas en el período
ID 7 Quejas respondidas dentro del tiempo establecido
Id 304. Eficacia del recaudo en los créditos a través de entidades financieras
Id 233. Gestión de la Vinculación Administrativa. Seccional Pereira
ID 382:  Nivel de satisfacción en los servicios de mantenimiento prestados
Id 417. Porcentaje de docentes con Doctorado y/o Maestría Seccional Pereira (Las 4 Facultades)
ID67:  Promedio evaluación Docente de la Facultad Ciencias de la salud Exactas y naturales
ID64:  Promedio evaluación Docente de la Facultad Ciencias Económicas, administrativas y contables
ID66:  Promedio evaluación Docente de la Facultad Derecho Ciencias Políticas y sociales
ID65: Promedio evaluación Docente de la Facultad de Ingenierías
Id 441. Cumplimiento de Clases Presenciales y/o Virtuales Programadas en Pregrado Seccional Pereira (Las 4 Facultades)
Id 407. Evaluación cumplimiento actividades de los grupos de investigación de la Sede Pereira
Id 364. Evaluación del Desempeño del Estudiante de Práctica Empresarial. Seccional Pereira
Id 537. Eficiencia en la Asignación de Prácticas Empresariales. Seccional Pereira
Id 558. Porcentaje de empresas con Seguimiento (Virtual y/o Presencial) en Prácticas Empresariales. Seccional Pereira
Id 570. Programa de Educación Continua Ofertados (diplomados, foros, cursos, talleres, congresos, seminarios, simposios, conferencias, entre otros). Seccional Pereira
Id 587. Nivel de la Demanda de Centro de Conciliación. Seccional Pereira
Id 591. Nivel de Atención oportuna de PQRs realizadas al Centro de Conciliación. Seccional Pereira
Id 592. Nivel de Satisfacción con los servicios prestados por el Centro de Conciliación. Seccional Pereira
Id 593. Jornadas de Atención Integral a las Comunidades. Seccional Pereira</t>
    </r>
  </si>
  <si>
    <r>
      <rPr>
        <b/>
        <sz val="8"/>
        <rFont val="Calibri"/>
        <family val="2"/>
      </rPr>
      <t xml:space="preserve">Anuales(26):  </t>
    </r>
    <r>
      <rPr>
        <sz val="6"/>
        <rFont val="Calibri"/>
        <family val="2"/>
      </rPr>
      <t xml:space="preserve">
Id 271. Pérdida del material bibliográfico
Id 481. Nivel de uso de recursos bibliográficos físicos (externo y sala) Seccional Pereira
Id 101. Ejecución Plan Anual de Trabajo de Bienestar Universitario Seccional Pereira
Id 102. Ejecución presupuestal de Bienestar Universitario Seccional Pereira
ID 1 Cumplimiento en el programa de Actividades
ID 8 Eficacia de las acciones correctivas implementadas
ID 3 Cumplimiento al plan de implementación del cambio
ID 4 Eficacia de las acciones de Gestión del Riesgo
ID 301 Precisión en la elaboración del Presupuesto de inversión
ID 302 Precisión en la elaboración del Presupuesto de gastos 
ID 303 Precisión en la elaboración del Presupuesto de ingresos 
Id 305.Eficacia del recaudo en los créditos directos
Id 300. Oportunidad en entrega de estados financieros Seccional Pereira
Id 234. Evaluación del desempeño (Seccional Pereira)
Id 235. Cumplimiento del Plan de Formación para Administrativos. Seccional Pereira
Id 614. Porcentaje de Ejecución del Presupuesto de Capacitación del Personal Administrativo. Seccional Pereira
Id 422. Prevalencia de la enfermedad laboral.
Id 473. Incidencia de la enfermedad laboral
ID 381 Ejecución del plan de acción
Id192. Cumplimiento del Cronograma de transferencias documentales
ID395 Programas Acreditados
ID389 Porcentaje de Programas que obtienen Registro Calificado
ID 366:  Grupos de investigación reconocidos y Escalafonados por Colciencias de la Seccional Pereira
ID 32 Movilidad docente
ID 33. Movilidad Estudiantil
Id 550. Nivel de eficiencia del Centro de Conciliación. Seccional Pereira
ID 642  Eficacia del SGC
</t>
    </r>
  </si>
  <si>
    <t>ID 442  Eficacia del SGC</t>
  </si>
  <si>
    <r>
      <rPr>
        <b/>
        <sz val="12"/>
        <rFont val="Arial"/>
        <family val="2"/>
      </rPr>
      <t>Cumplimiento al trámite de compras</t>
    </r>
    <r>
      <rPr>
        <sz val="12"/>
        <rFont val="Arial"/>
        <family val="2"/>
      </rPr>
      <t xml:space="preserve">:  Solicitudes devueltas por errores o fallas en el periodo </t>
    </r>
  </si>
  <si>
    <r>
      <rPr>
        <b/>
        <sz val="12"/>
        <rFont val="Arial"/>
        <family val="2"/>
      </rPr>
      <t>Cumplimiento al trámite de compras</t>
    </r>
    <r>
      <rPr>
        <sz val="12"/>
        <rFont val="Arial"/>
        <family val="2"/>
      </rPr>
      <t xml:space="preserve">:  Solicitudes no tramitadas en el periodo </t>
    </r>
  </si>
  <si>
    <r>
      <t xml:space="preserve">GESTION FINANCIERA
</t>
    </r>
    <r>
      <rPr>
        <sz val="14"/>
        <rFont val="Arial"/>
        <family val="2"/>
      </rPr>
      <t>Días promedio para el trámite de cuentas por pagar (Acuerdo)</t>
    </r>
  </si>
  <si>
    <t>OBJETIVOS DE CALIDAD 2022</t>
  </si>
  <si>
    <t>Octubre  24 al 27 de 2022</t>
  </si>
  <si>
    <r>
      <rPr>
        <b/>
        <sz val="22"/>
        <color theme="1"/>
        <rFont val="Calibri"/>
        <family val="2"/>
        <scheme val="minor"/>
      </rPr>
      <t>Año 2022</t>
    </r>
    <r>
      <rPr>
        <sz val="22"/>
        <color theme="1"/>
        <rFont val="Calibri"/>
        <family val="2"/>
        <scheme val="minor"/>
      </rPr>
      <t xml:space="preserve">:  Se  realizó  visita de auditoria externa  de calidad SGS de Colombia    del 24 al 27 de octubre de 2022 en las seccionales de Bogotá,  Barranquilla, Cali  y Pereira, donde  se  presentó 1 hallazgo en la seccional Cali en el proceso de Investigacion, se encontraron 6 observaciones, las cuales se trabajaran las oportunidades de mejora  con los líderes de proceso respectivos (GDO: 2, GB: 1, DOC - salud:  2, GA: 1)  </t>
    </r>
  </si>
  <si>
    <t xml:space="preserve">Aud. Seg 2 </t>
  </si>
  <si>
    <t>EVALUACIÓN DE PROVEEDORES 2022</t>
  </si>
  <si>
    <t xml:space="preserve">Durante el año 2022, se presentaron 93 servicios no conformes en los siguientes procesos: 
1. Biblioteca: Se presentaron 3 servicios no conformes por calificaciones del servicio entre regulares y malas
2. Gestión financiera: Se presentaron 3 servicios no conformes por calificaciones del servicio entre regulares y malas de un total de 98 usuarios que calificaron el servicio
3. Gestión de Admisiones y registros: Se presentaron 39 servicios no conformes por calificaciones del servicio entre regulares y malas:  14 de un total de 292 usuarios que calificaron el servicio durante el año. Certificaciones que no cumplen con el tiempo estipulado para su entrega: 13 de un total de certificados expedidos de 2.553  Certificaciones y constancias con errores:  12 certificados con errores del total de certificados elaborados
4. Bienestar Universitario: Se presentaron 3 servicios no conformes por calificaciones del servicio entre regulares y malas de un total de 98 usuarios que calificaron el servicio
5. Docencia:  Se presentaron 12 servicios no conformes por calificaciones del servicio entre regulares y malas de un total de 495 usuarios que calificaron el servicio.
6. Internacionalización:  Se presentaron 7 servicios no conformes por Calificaciones del servicio entre regulares y malas de un total de 51 usuarios que calificaron el servicio
7. Investigación: Se presentó 1 servicio no conforme por calificaciones del servicio entre regulares y malas de un total de 36 usuarios que calificaron el servicio
8. Proyección Social:  Se presentaron 25 servicios no conformes por calificaciones del servicio entre regulares y malas de un total de 240 usuarios que calificaron el servicio
</t>
  </si>
  <si>
    <t>Id 741. Satisfacción de la comunidad Unilibrista frente a la calidad de los servicios prestados.</t>
  </si>
  <si>
    <t>((((STS/NE)*60)+((NQA/NQE)*20)+((SCS/NCS)*20)))
*Sumatoria total de la encuesta de satisfacción (1 a 5)
*Numero de encuestados
*Número de quejas atendidas de manera eficiente (quejas recurrentes, cerradas y respuestas generadas oportunamente).
* Número total de quejas recibidas en el periodo
* Sumatoria total de la calificación del servicio (1 a 5)
* Numero de calificaciones del servicio aplicadas a los procesos.</t>
  </si>
  <si>
    <t>Id 742. Cumplimiento de los acuerdos de servicio</t>
  </si>
  <si>
    <t>* Cumplimiento con la meta establecida en el acuerdo mensual
* Numero de acuerdos de Servicios mensuales
* Cumplimiento con la meta establecida en el acuerdo trimestral
* Numero de acuerdos de Servicios trimestrales
* Cumplimiento con la meta establecida en el acuerdo semestral
* Numero de acuerdos de Servicios semestral
* Cumplimiento con la meta establecida en el acuerdo anual 
* Numero de acuerdos de Servicios anuales</t>
  </si>
  <si>
    <t>Id 743. Cumplimiento de metas de los indicadores de eficiencia y eficacia</t>
  </si>
  <si>
    <t>* Numero de indicadores de eficacia que cumplieron la meta
* Numero total de indicadores de eficacia
*  Numero de indicadores de eficiencia que cumplieron la meta
*  Numero total de indicadores de eficiencia
*  Numero de indicadores de productividad que cumplieron la meta
*  Numero total de indicadores de productividad</t>
  </si>
  <si>
    <t>Id 142. Elaboración y entrega oportuna de las certificaciones y constancias académicas (Acuerdo)</t>
  </si>
  <si>
    <t xml:space="preserve">Id 141.Confiabilidad en la información de los certificados (AS)  </t>
  </si>
  <si>
    <t xml:space="preserve">ID 169: Días promedio para el trámite de cuentas por pagar
(Acuerdo) </t>
  </si>
  <si>
    <r>
      <rPr>
        <b/>
        <sz val="10"/>
        <color rgb="FFFF0000"/>
        <rFont val="Arial"/>
        <family val="2"/>
      </rPr>
      <t xml:space="preserve">ID 735 </t>
    </r>
    <r>
      <rPr>
        <b/>
        <sz val="10"/>
        <rFont val="Arial"/>
        <family val="2"/>
      </rPr>
      <t xml:space="preserve">Indice de crecimiento en el número de títulos adquiridos . </t>
    </r>
    <r>
      <rPr>
        <b/>
        <sz val="10"/>
        <color rgb="FFFF0000"/>
        <rFont val="Arial"/>
        <family val="2"/>
      </rPr>
      <t>Seccional Pereira</t>
    </r>
    <r>
      <rPr>
        <b/>
        <sz val="10"/>
        <rFont val="Arial"/>
        <family val="2"/>
      </rPr>
      <t xml:space="preserve">(AS)   
</t>
    </r>
  </si>
  <si>
    <t>No. de Títulos Físicos y Electrónicos Adquiridos - Periodo Anterior / No. de Títulos Físicos y Electrónicos Adquiridos- Periodo Actual</t>
  </si>
  <si>
    <t xml:space="preserve">Id 274. Proporción de volúmenes por alumno (AS)   </t>
  </si>
  <si>
    <t xml:space="preserve">Id 271. Pérdida del material bibliográfico
</t>
  </si>
  <si>
    <t xml:space="preserve">Id 108.  Atención médica y/o primaria en Enfermería (Acuerdo)  </t>
  </si>
  <si>
    <r>
      <rPr>
        <b/>
        <sz val="6"/>
        <rFont val="Calibri"/>
        <family val="2"/>
      </rPr>
      <t>Año 2022:</t>
    </r>
    <r>
      <rPr>
        <sz val="6"/>
        <rFont val="Calibri"/>
        <family val="2"/>
      </rPr>
      <t xml:space="preserve">  Durante el año 2022, de un total de 72 indicadores de proceso estándar, se midieron 71 en las áreas académicas y administrativas (pendiente por medir el  Id 234. Evaluación del desempeño (Seccional Pereira), de los cuales 4 no cumplieron con la meta estándar nacional, equivalente al 94% de cumplimiento.  En los procesos de: Bienestar Universitario y Gestión Financiera:  Id 517. Participación de Egresados en Actividades Institucionales y/o Académicas. Sede Pereira - Id 523. Número de Graduados Vinculados en el Mercado Laboral (Mediante la Bolsa de Empleo). Sede Pereira - Id 630. Participación de Egresados en Actividades de Bienestar. Seccional Pereira - ID 301 Precisión en la elaboración del Presupuesto de inversión, en los cuales se están implementando las oportunidades de mejora correspondientes.
Los indicadores de proceso medidos se desagregan por periodicidad, así:
</t>
    </r>
    <r>
      <rPr>
        <b/>
        <sz val="6"/>
        <rFont val="Calibri"/>
        <family val="2"/>
      </rPr>
      <t xml:space="preserve">
Indicadores de proceso Mensuales (4)</t>
    </r>
    <r>
      <rPr>
        <sz val="6"/>
        <rFont val="Calibri"/>
        <family val="2"/>
      </rPr>
      <t xml:space="preserve">
Id 419. Frecuencia de accidentalidad
Id 420. Severidad de accidentalidad
Id 421. Proporción de accidentes de trabajo mortales
ID 352 Atención a solicitudes de mantenimiento correctivo y preventivo de recursos informáticos
</t>
    </r>
    <r>
      <rPr>
        <b/>
        <sz val="7"/>
        <rFont val="Calibri"/>
        <family val="2"/>
      </rPr>
      <t xml:space="preserve">
Trimestrales (2):</t>
    </r>
    <r>
      <rPr>
        <sz val="6"/>
        <rFont val="Calibri"/>
        <family val="2"/>
      </rPr>
      <t xml:space="preserve">
Id 621. Porcentaje de Participación del Personal Administrativo en el Plan de Capacitaciones. Seccional Pereira
Id 628. Nivel de Satisfacción de las Capacitaciones Realizadas. Seccional Pereira</t>
    </r>
  </si>
  <si>
    <t xml:space="preserve">En el seguimiento que se realizó a la implementación de las acciones de mejora durante el segundo semestre de  2022,   se verificó que de 90 oportunidades de mejora proyectadas para el año 2022,  83 se encuentran cerradas y 7 en proceso, equivalente al 92,22%, las 7 que quedaron pendientes por implementar al 100% se continuará su ejecución durante el año 2023:
1. Dotación tecnológica de los laboratorios especializados de Ing.Comercial, Financiera y Sistemas.
2. Ampliación del lugar de desarrollo del programa de Ingeniería Civil (Obtención resolución de modificación de registro calificado MEN)
3.  Rediseño y actualización de los Proyectos Educativos de programas de Economía, Contaduría Pública y administración de empresas
4. Implementación del Sistema de Gestión de calidad ISO17025 para el laboratorio de investigación del programa de Microbiología
5. Realizar el diplomado de  Conciliaciòn en derecho
6. Adecuación y puesta en marcha del programa de resíduos de postconsumo en la seccional.
7. Inclusión de auditorías para Gestión ambiental con fines certificación bajo la norma ISO14001: 2015 en el marco de las auditorías internas de calidad
  </t>
  </si>
  <si>
    <r>
      <t xml:space="preserve">La eficacia del SGC en la Seccional Pereira durante el año 2022 fue del 90,67%,  El cumplimiento de los objetivos de calidad para el año 2022 fue en promedio del 92,00% (2022-1: 91,72%  y para el segundo semestre de 2022 se logró un resultado del 92,70%) ;  la ponderación que se dio para el primer objetivo de calidad  fue de 60% para encuesta (81,00% de cumplimiento), 20% quejas (2022-1: 100%  y 2022-2 100%%)  y 20% para calificaciones del servicio (2022-1: 97,28%  y 2022-2:  96,94%).  Para el objetivo 2 de acuerdos de servicio, la ponderación fue del 30% (2022-1: 88,89%  y 2022-2 96,94%) y el objetivo 3 indicadores de eficacia la ponderación fue del 30% (2022-1: 93,57%  y 2022-2: 94,83%). 
 Comparativo resultados de eficacia del SGC de los períodos comprendidos entre el  2006-1 hasta el 2022:
</t>
    </r>
    <r>
      <rPr>
        <b/>
        <sz val="14"/>
        <rFont val="Arial"/>
        <family val="2"/>
      </rPr>
      <t xml:space="preserve">2006-2   2007-1    2007-2      2008-1     2008-2        2009-1      2010-1     2010-2      2011-1     2011-2     2012-1      2012-2    2013-1      2013-2   2014-1      2014-2     </t>
    </r>
    <r>
      <rPr>
        <sz val="14"/>
        <rFont val="Arial"/>
        <family val="2"/>
      </rPr>
      <t xml:space="preserve">            
  46%      50%          68%         73%         71%           74,6%        58%        74%           2,6%       2,6%        2,2%        2,3%        2,4%         2,4%      2,4%        2,3%
</t>
    </r>
    <r>
      <rPr>
        <b/>
        <sz val="14"/>
        <rFont val="Arial"/>
        <family val="2"/>
      </rPr>
      <t>2015-1      2015-2    2016-1         2016-2     2017-1     2017-2     2018-1      2018-2   2019-1     2019-2       2020-1      2020-2     2021-1      2021-2    2022-1      2022-2</t>
    </r>
    <r>
      <rPr>
        <sz val="14"/>
        <rFont val="Arial"/>
        <family val="2"/>
      </rPr>
      <t xml:space="preserve">
 2,4%        2,3%         2,2%            3%           92%          86%         86%         89%     86,77%     91,11%    84,93%      90,70%     89,96%    87,84%    89,96%     92,72%</t>
    </r>
  </si>
  <si>
    <t>71 indicadores de proceso  medidos</t>
  </si>
  <si>
    <t>93,66%</t>
  </si>
  <si>
    <t>3210 calif.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</si>
</sst>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_-* #,##0.00\ &quot;€&quot;_-;\-* #,##0.00\ &quot;€&quot;_-;_-* &quot;-&quot;??\ &quot;€&quot;_-;_-@_-"/>
    <numFmt numFmtId="165" formatCode="0.0%"/>
    <numFmt numFmtId="166" formatCode="_ * #,##0_ ;_ * \-#,##0_ ;_ * &quot;-&quot;??_ ;_ @_ "/>
    <numFmt numFmtId="167" formatCode="_ * #,##0.00_ ;_ * \-#,##0.00_ ;_ * &quot;-&quot;??_ ;_ @_ "/>
    <numFmt numFmtId="168" formatCode="0.0"/>
    <numFmt numFmtId="169" formatCode="_ &quot;$&quot;\ * #,##0_ ;_ &quot;$&quot;\ * \-#,##0_ ;_ &quot;$&quot;\ * &quot;-&quot;_ ;_ @_ "/>
    <numFmt numFmtId="170" formatCode="_-* #,##0_-;\-* #,##0_-;_-* &quot;-&quot;??_-;_-@_-"/>
    <numFmt numFmtId="171" formatCode="_-* #,##0.00_-;\-* #,##0.00_-;_-* &quot;-&quot;_-;_-@_-"/>
    <numFmt numFmtId="172" formatCode="0.0000%"/>
    <numFmt numFmtId="173" formatCode="_-* #,##0.000_-;\-* #,##0.000_-;_-* &quot;-&quot;_-;_-@_-"/>
    <numFmt numFmtId="174" formatCode="_-* #,##0.000000_-;\-* #,##0.000000_-;_-* &quot;-&quot;_-;_-@_-"/>
    <numFmt numFmtId="175" formatCode="0.00000"/>
  </numFmts>
  <fonts count="21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Arial"/>
      <family val="2"/>
    </font>
    <font>
      <b/>
      <sz val="10"/>
      <name val="Arial"/>
      <family val="2"/>
    </font>
    <font>
      <b/>
      <sz val="10"/>
      <color indexed="12"/>
      <name val="Arial"/>
      <family val="2"/>
    </font>
    <font>
      <b/>
      <sz val="12"/>
      <color indexed="12"/>
      <name val="Arial"/>
      <family val="2"/>
    </font>
    <font>
      <b/>
      <sz val="14"/>
      <color indexed="8"/>
      <name val="Arial"/>
      <family val="2"/>
    </font>
    <font>
      <sz val="12"/>
      <name val="Arial"/>
      <family val="2"/>
    </font>
    <font>
      <b/>
      <sz val="14"/>
      <name val="Arial"/>
      <family val="2"/>
    </font>
    <font>
      <b/>
      <sz val="12"/>
      <color indexed="8"/>
      <name val="Arial"/>
      <family val="2"/>
    </font>
    <font>
      <b/>
      <sz val="12"/>
      <name val="Arial"/>
      <family val="2"/>
    </font>
    <font>
      <b/>
      <sz val="8"/>
      <name val="Arial"/>
      <family val="2"/>
    </font>
    <font>
      <sz val="8"/>
      <name val="Arial"/>
      <family val="2"/>
    </font>
    <font>
      <b/>
      <sz val="11"/>
      <name val="Arial"/>
      <family val="2"/>
    </font>
    <font>
      <sz val="11"/>
      <name val="Arial"/>
      <family val="2"/>
    </font>
    <font>
      <sz val="14"/>
      <name val="Arial"/>
      <family val="2"/>
    </font>
    <font>
      <b/>
      <sz val="11"/>
      <color indexed="12"/>
      <name val="Arial"/>
      <family val="2"/>
    </font>
    <font>
      <sz val="9"/>
      <name val="Arial"/>
      <family val="2"/>
    </font>
    <font>
      <b/>
      <sz val="10"/>
      <color indexed="10"/>
      <name val="Arial"/>
      <family val="2"/>
    </font>
    <font>
      <sz val="10"/>
      <color indexed="10"/>
      <name val="Arial"/>
      <family val="2"/>
    </font>
    <font>
      <b/>
      <sz val="11"/>
      <color indexed="10"/>
      <name val="Arial"/>
      <family val="2"/>
    </font>
    <font>
      <b/>
      <sz val="14"/>
      <color rgb="FFFF0000"/>
      <name val="Arial"/>
      <family val="2"/>
    </font>
    <font>
      <sz val="6"/>
      <name val="Arial"/>
      <family val="2"/>
    </font>
    <font>
      <sz val="10"/>
      <color indexed="8"/>
      <name val="Arial"/>
      <family val="2"/>
    </font>
    <font>
      <b/>
      <sz val="11"/>
      <color indexed="81"/>
      <name val="Tahoma"/>
      <family val="2"/>
    </font>
    <font>
      <sz val="11"/>
      <color indexed="81"/>
      <name val="Tahoma"/>
      <family val="2"/>
    </font>
    <font>
      <sz val="11"/>
      <color indexed="8"/>
      <name val="Calibri"/>
      <family val="2"/>
    </font>
    <font>
      <b/>
      <sz val="12"/>
      <color indexed="9"/>
      <name val="Arial"/>
      <family val="2"/>
    </font>
    <font>
      <b/>
      <sz val="16"/>
      <name val="Arial"/>
      <family val="2"/>
    </font>
    <font>
      <b/>
      <sz val="10"/>
      <color indexed="9"/>
      <name val="Arial"/>
      <family val="2"/>
    </font>
    <font>
      <b/>
      <sz val="20"/>
      <color indexed="18"/>
      <name val="Arial"/>
      <family val="2"/>
    </font>
    <font>
      <b/>
      <sz val="18"/>
      <color indexed="9"/>
      <name val="Arial"/>
      <family val="2"/>
    </font>
    <font>
      <sz val="10"/>
      <name val="Arial"/>
      <family val="2"/>
    </font>
    <font>
      <sz val="20"/>
      <color theme="1"/>
      <name val="Calibri"/>
      <family val="2"/>
      <scheme val="minor"/>
    </font>
    <font>
      <b/>
      <sz val="18"/>
      <color indexed="18"/>
      <name val="Arial"/>
      <family val="2"/>
    </font>
    <font>
      <b/>
      <sz val="18"/>
      <name val="Arial"/>
      <family val="2"/>
    </font>
    <font>
      <b/>
      <sz val="10"/>
      <color rgb="FFFF0000"/>
      <name val="Arial"/>
      <family val="2"/>
    </font>
    <font>
      <sz val="12"/>
      <name val="Times New Roman"/>
      <family val="1"/>
    </font>
    <font>
      <b/>
      <sz val="9"/>
      <name val="Arial"/>
      <family val="2"/>
    </font>
    <font>
      <b/>
      <sz val="8"/>
      <color indexed="81"/>
      <name val="Tahoma"/>
      <family val="2"/>
    </font>
    <font>
      <sz val="8"/>
      <color indexed="81"/>
      <name val="Tahoma"/>
      <family val="2"/>
    </font>
    <font>
      <sz val="11"/>
      <name val="Calibri"/>
      <family val="2"/>
    </font>
    <font>
      <b/>
      <sz val="16"/>
      <color indexed="81"/>
      <name val="Tahoma"/>
      <family val="2"/>
    </font>
    <font>
      <sz val="16"/>
      <color indexed="81"/>
      <name val="Tahoma"/>
      <family val="2"/>
    </font>
    <font>
      <b/>
      <sz val="12"/>
      <color indexed="81"/>
      <name val="Tahoma"/>
      <family val="2"/>
    </font>
    <font>
      <sz val="12"/>
      <color indexed="81"/>
      <name val="Tahoma"/>
      <family val="2"/>
    </font>
    <font>
      <sz val="10"/>
      <color rgb="FFFF0000"/>
      <name val="Arial"/>
      <family val="2"/>
    </font>
    <font>
      <b/>
      <sz val="14"/>
      <color indexed="12"/>
      <name val="Arial"/>
      <family val="2"/>
    </font>
    <font>
      <sz val="20"/>
      <name val="Arial"/>
      <family val="2"/>
    </font>
    <font>
      <sz val="18"/>
      <name val="Arial"/>
      <family val="2"/>
    </font>
    <font>
      <b/>
      <sz val="18"/>
      <color indexed="12"/>
      <name val="Arial"/>
      <family val="2"/>
    </font>
    <font>
      <b/>
      <sz val="11"/>
      <color indexed="62"/>
      <name val="Calibri"/>
      <family val="2"/>
    </font>
    <font>
      <b/>
      <sz val="7"/>
      <name val="Arial"/>
      <family val="2"/>
    </font>
    <font>
      <sz val="7"/>
      <name val="Arial"/>
      <family val="2"/>
    </font>
    <font>
      <sz val="16"/>
      <name val="Arial"/>
      <family val="2"/>
    </font>
    <font>
      <b/>
      <sz val="10"/>
      <color indexed="81"/>
      <name val="Tahoma"/>
      <family val="2"/>
    </font>
    <font>
      <sz val="10"/>
      <color indexed="81"/>
      <name val="Tahoma"/>
      <family val="2"/>
    </font>
    <font>
      <b/>
      <sz val="10"/>
      <color indexed="21"/>
      <name val="Arial"/>
      <family val="2"/>
    </font>
    <font>
      <sz val="10"/>
      <color indexed="12"/>
      <name val="Arial"/>
      <family val="2"/>
    </font>
    <font>
      <b/>
      <sz val="24"/>
      <name val="Arial"/>
      <family val="2"/>
    </font>
    <font>
      <b/>
      <sz val="12"/>
      <color theme="0"/>
      <name val="Arial"/>
      <family val="2"/>
    </font>
    <font>
      <sz val="12"/>
      <color rgb="FFFF0000"/>
      <name val="Arial"/>
      <family val="2"/>
    </font>
    <font>
      <b/>
      <sz val="12"/>
      <color rgb="FF0000FF"/>
      <name val="Arial"/>
      <family val="2"/>
    </font>
    <font>
      <sz val="10"/>
      <color theme="1"/>
      <name val="Arial"/>
      <family val="2"/>
    </font>
    <font>
      <sz val="9"/>
      <color indexed="81"/>
      <name val="Tahoma"/>
      <family val="2"/>
    </font>
    <font>
      <b/>
      <sz val="9"/>
      <color indexed="81"/>
      <name val="Tahoma"/>
      <family val="2"/>
    </font>
    <font>
      <b/>
      <sz val="20"/>
      <name val="Arial"/>
      <family val="2"/>
    </font>
    <font>
      <sz val="14"/>
      <color rgb="FFFF0000"/>
      <name val="Arial"/>
      <family val="2"/>
    </font>
    <font>
      <sz val="14"/>
      <color indexed="10"/>
      <name val="Arial"/>
      <family val="2"/>
    </font>
    <font>
      <sz val="14"/>
      <color indexed="12"/>
      <name val="Arial"/>
      <family val="2"/>
    </font>
    <font>
      <b/>
      <sz val="11"/>
      <color rgb="FF0000FF"/>
      <name val="Arial"/>
      <family val="2"/>
    </font>
    <font>
      <b/>
      <sz val="16"/>
      <color theme="1"/>
      <name val="Calibri"/>
      <family val="2"/>
      <scheme val="minor"/>
    </font>
    <font>
      <b/>
      <sz val="8"/>
      <color rgb="FFFF0000"/>
      <name val="Arial"/>
      <family val="2"/>
    </font>
    <font>
      <sz val="20"/>
      <name val="Calibri"/>
      <family val="2"/>
      <scheme val="minor"/>
    </font>
    <font>
      <sz val="14"/>
      <name val="Calibri"/>
      <family val="2"/>
    </font>
    <font>
      <sz val="22"/>
      <name val="Calibri"/>
      <family val="2"/>
    </font>
    <font>
      <b/>
      <sz val="10"/>
      <color theme="1"/>
      <name val="Arial"/>
      <family val="2"/>
    </font>
    <font>
      <b/>
      <sz val="12"/>
      <color theme="1"/>
      <name val="Arial"/>
      <family val="2"/>
    </font>
    <font>
      <sz val="12"/>
      <color theme="1"/>
      <name val="Arial"/>
      <family val="2"/>
    </font>
    <font>
      <sz val="11"/>
      <color theme="1"/>
      <name val="Arial"/>
      <family val="2"/>
    </font>
    <font>
      <b/>
      <sz val="24"/>
      <name val="Calibri"/>
      <family val="2"/>
    </font>
    <font>
      <b/>
      <sz val="12"/>
      <color rgb="FFFF0000"/>
      <name val="Arial"/>
      <family val="2"/>
    </font>
    <font>
      <sz val="11"/>
      <color rgb="FFFF0000"/>
      <name val="Arial"/>
      <family val="2"/>
    </font>
    <font>
      <b/>
      <sz val="16"/>
      <color theme="1"/>
      <name val="Arial"/>
      <family val="2"/>
    </font>
    <font>
      <b/>
      <sz val="11"/>
      <color theme="1"/>
      <name val="Calibri"/>
      <family val="2"/>
      <scheme val="minor"/>
    </font>
    <font>
      <sz val="11"/>
      <color theme="0"/>
      <name val="Calibri"/>
      <family val="2"/>
      <scheme val="minor"/>
    </font>
    <font>
      <b/>
      <sz val="14"/>
      <color theme="1"/>
      <name val="Calibri"/>
      <family val="2"/>
      <scheme val="minor"/>
    </font>
    <font>
      <sz val="10"/>
      <color theme="0"/>
      <name val="Calibri"/>
      <family val="2"/>
      <scheme val="minor"/>
    </font>
    <font>
      <sz val="11"/>
      <name val="Calibri"/>
      <family val="2"/>
      <scheme val="minor"/>
    </font>
    <font>
      <b/>
      <sz val="22"/>
      <color theme="1"/>
      <name val="Calibri"/>
      <family val="2"/>
      <scheme val="minor"/>
    </font>
    <font>
      <b/>
      <sz val="11"/>
      <color theme="1"/>
      <name val="Arial"/>
      <family val="2"/>
    </font>
    <font>
      <sz val="18"/>
      <color theme="1"/>
      <name val="Arial"/>
      <family val="2"/>
    </font>
    <font>
      <sz val="14"/>
      <color theme="1"/>
      <name val="Arial"/>
      <family val="2"/>
    </font>
    <font>
      <b/>
      <sz val="18"/>
      <name val="Calibri"/>
      <family val="2"/>
      <scheme val="minor"/>
    </font>
    <font>
      <sz val="36"/>
      <name val="Calibri"/>
      <family val="2"/>
    </font>
    <font>
      <b/>
      <sz val="18"/>
      <name val="Calibri"/>
      <family val="2"/>
    </font>
    <font>
      <b/>
      <sz val="16"/>
      <name val="Calibri"/>
      <family val="2"/>
    </font>
    <font>
      <b/>
      <sz val="16"/>
      <color rgb="FFFF0000"/>
      <name val="Arial"/>
      <family val="2"/>
    </font>
    <font>
      <sz val="22"/>
      <name val="Arial"/>
      <family val="2"/>
    </font>
    <font>
      <b/>
      <sz val="11"/>
      <color rgb="FFFF0000"/>
      <name val="Arial"/>
      <family val="2"/>
    </font>
    <font>
      <b/>
      <sz val="6"/>
      <color rgb="FF000000"/>
      <name val="Calibri"/>
      <family val="2"/>
    </font>
    <font>
      <sz val="9"/>
      <color rgb="FF000000"/>
      <name val="Calibri"/>
      <family val="2"/>
    </font>
    <font>
      <sz val="7"/>
      <color rgb="FF000000"/>
      <name val="Calibri"/>
      <family val="2"/>
    </font>
    <font>
      <sz val="10"/>
      <color rgb="FF000000"/>
      <name val="Calibri"/>
      <family val="2"/>
    </font>
    <font>
      <b/>
      <sz val="16"/>
      <color rgb="FFFF0000"/>
      <name val="Calibri"/>
      <family val="2"/>
    </font>
    <font>
      <sz val="18"/>
      <color rgb="FF000000"/>
      <name val="Times New Roman"/>
      <family val="1"/>
    </font>
    <font>
      <b/>
      <sz val="22"/>
      <color theme="1"/>
      <name val="Arial"/>
      <family val="2"/>
    </font>
    <font>
      <sz val="18"/>
      <color theme="1"/>
      <name val="Calibri"/>
      <family val="2"/>
      <scheme val="minor"/>
    </font>
    <font>
      <sz val="18"/>
      <name val="Times New Roman"/>
      <family val="1"/>
    </font>
    <font>
      <b/>
      <sz val="11"/>
      <name val="Calibri"/>
      <family val="2"/>
    </font>
    <font>
      <b/>
      <sz val="10"/>
      <name val="Calibri"/>
      <family val="2"/>
    </font>
    <font>
      <b/>
      <sz val="12"/>
      <color rgb="FF000000"/>
      <name val="Calibri"/>
      <family val="2"/>
    </font>
    <font>
      <sz val="16"/>
      <color rgb="FF000000"/>
      <name val="Calibri"/>
      <family val="2"/>
    </font>
    <font>
      <b/>
      <sz val="22"/>
      <color rgb="FF000000"/>
      <name val="Calibri"/>
      <family val="2"/>
    </font>
    <font>
      <sz val="12"/>
      <color rgb="FF0000FF"/>
      <name val="Arial"/>
      <family val="2"/>
    </font>
    <font>
      <b/>
      <sz val="16"/>
      <name val="Calibri"/>
      <family val="2"/>
      <scheme val="minor"/>
    </font>
    <font>
      <b/>
      <sz val="22"/>
      <name val="Arial"/>
      <family val="2"/>
    </font>
    <font>
      <sz val="18"/>
      <name val="Calibri"/>
      <family val="2"/>
    </font>
    <font>
      <b/>
      <sz val="11"/>
      <name val="Calibri"/>
      <family val="2"/>
      <scheme val="minor"/>
    </font>
    <font>
      <b/>
      <sz val="14"/>
      <name val="Calibri"/>
      <family val="2"/>
      <scheme val="minor"/>
    </font>
    <font>
      <b/>
      <sz val="12"/>
      <name val="Calibri"/>
      <family val="2"/>
      <scheme val="minor"/>
    </font>
    <font>
      <b/>
      <sz val="7"/>
      <name val="Calibri"/>
      <family val="2"/>
      <scheme val="minor"/>
    </font>
    <font>
      <b/>
      <sz val="9"/>
      <name val="Calibri"/>
      <family val="2"/>
      <scheme val="minor"/>
    </font>
    <font>
      <b/>
      <sz val="8"/>
      <name val="Calibri"/>
      <family val="2"/>
      <scheme val="minor"/>
    </font>
    <font>
      <sz val="10"/>
      <name val="Calibri"/>
      <family val="2"/>
      <scheme val="minor"/>
    </font>
    <font>
      <b/>
      <sz val="14"/>
      <color rgb="FF0000FF"/>
      <name val="Arial"/>
      <family val="2"/>
    </font>
    <font>
      <sz val="11"/>
      <name val="Century Gothic"/>
      <family val="2"/>
    </font>
    <font>
      <sz val="9"/>
      <name val="Calibri"/>
      <family val="2"/>
    </font>
    <font>
      <b/>
      <sz val="8"/>
      <name val="Calibri"/>
      <family val="2"/>
    </font>
    <font>
      <b/>
      <sz val="7"/>
      <name val="Calibri"/>
      <family val="2"/>
    </font>
    <font>
      <sz val="12"/>
      <name val="Calibri"/>
      <family val="2"/>
      <scheme val="minor"/>
    </font>
    <font>
      <b/>
      <sz val="14"/>
      <color theme="0"/>
      <name val="Arial"/>
      <family val="2"/>
    </font>
    <font>
      <sz val="14"/>
      <name val="Calibri"/>
      <family val="2"/>
      <scheme val="minor"/>
    </font>
    <font>
      <sz val="12"/>
      <name val="Calibri"/>
      <family val="2"/>
    </font>
    <font>
      <sz val="16"/>
      <name val="Times New Roman"/>
      <family val="1"/>
    </font>
    <font>
      <b/>
      <sz val="11"/>
      <color theme="1"/>
      <name val="Calibri"/>
      <family val="2"/>
    </font>
    <font>
      <sz val="22"/>
      <color theme="1"/>
      <name val="Calibri"/>
      <family val="2"/>
      <scheme val="minor"/>
    </font>
    <font>
      <b/>
      <sz val="12"/>
      <color theme="1"/>
      <name val="Calibri"/>
      <family val="2"/>
      <scheme val="minor"/>
    </font>
    <font>
      <b/>
      <sz val="18"/>
      <color theme="0"/>
      <name val="Arial"/>
      <family val="2"/>
    </font>
    <font>
      <sz val="20"/>
      <color rgb="FF0000FF"/>
      <name val="Arial"/>
      <family val="2"/>
    </font>
    <font>
      <sz val="18"/>
      <color rgb="FF0000FF"/>
      <name val="Arial"/>
      <family val="2"/>
    </font>
    <font>
      <sz val="11"/>
      <color rgb="FFFF0000"/>
      <name val="Calibri"/>
      <family val="2"/>
      <scheme val="minor"/>
    </font>
    <font>
      <sz val="8"/>
      <name val="Calibri"/>
      <family val="2"/>
      <scheme val="minor"/>
    </font>
    <font>
      <sz val="11"/>
      <color rgb="FF0000FF"/>
      <name val="Calibri"/>
      <family val="2"/>
      <scheme val="minor"/>
    </font>
    <font>
      <b/>
      <sz val="11"/>
      <color rgb="FFFF0000"/>
      <name val="Calibri"/>
      <family val="2"/>
      <scheme val="minor"/>
    </font>
    <font>
      <sz val="8"/>
      <color rgb="FFFF0000"/>
      <name val="Calibri"/>
      <family val="2"/>
      <scheme val="minor"/>
    </font>
    <font>
      <sz val="8"/>
      <color rgb="FFFF0000"/>
      <name val="Arial"/>
      <family val="2"/>
    </font>
    <font>
      <b/>
      <sz val="24"/>
      <color rgb="FF000000"/>
      <name val="Calibri"/>
      <family val="2"/>
      <scheme val="minor"/>
    </font>
    <font>
      <b/>
      <sz val="18"/>
      <color rgb="FF000000"/>
      <name val="Calibri"/>
      <family val="2"/>
      <scheme val="minor"/>
    </font>
    <font>
      <b/>
      <sz val="16"/>
      <color rgb="FF000000"/>
      <name val="Calibri"/>
      <family val="2"/>
      <scheme val="minor"/>
    </font>
    <font>
      <b/>
      <sz val="16"/>
      <color rgb="FFFF0000"/>
      <name val="Calibri"/>
      <family val="2"/>
      <scheme val="minor"/>
    </font>
    <font>
      <b/>
      <sz val="22"/>
      <color rgb="FF000000"/>
      <name val="Calibri"/>
      <family val="2"/>
      <scheme val="minor"/>
    </font>
    <font>
      <sz val="18"/>
      <color rgb="FF000000"/>
      <name val="Calibri"/>
      <family val="2"/>
      <scheme val="minor"/>
    </font>
    <font>
      <sz val="22"/>
      <color rgb="FF000000"/>
      <name val="Calibri"/>
      <family val="2"/>
      <scheme val="minor"/>
    </font>
    <font>
      <b/>
      <sz val="26"/>
      <color theme="0"/>
      <name val="Calibri"/>
      <family val="2"/>
      <scheme val="minor"/>
    </font>
    <font>
      <b/>
      <sz val="14"/>
      <color rgb="FF323130"/>
      <name val="Segoe UI"/>
      <family val="2"/>
    </font>
    <font>
      <b/>
      <sz val="14"/>
      <color rgb="FFFF0000"/>
      <name val="Segoe UI"/>
      <family val="2"/>
    </font>
    <font>
      <b/>
      <sz val="10"/>
      <color theme="1"/>
      <name val="Segoe UI"/>
      <family val="2"/>
    </font>
    <font>
      <sz val="10"/>
      <color theme="1"/>
      <name val="Segoe UI"/>
      <family val="2"/>
    </font>
    <font>
      <b/>
      <sz val="11"/>
      <color theme="1"/>
      <name val="Segoe UI"/>
      <family val="2"/>
    </font>
    <font>
      <sz val="9"/>
      <color theme="1"/>
      <name val="Calibri"/>
      <family val="2"/>
      <scheme val="minor"/>
    </font>
    <font>
      <sz val="12"/>
      <color theme="1"/>
      <name val="Segoe UI"/>
      <family val="2"/>
    </font>
    <font>
      <sz val="9"/>
      <color rgb="FF515151"/>
      <name val="Segoe UI"/>
      <family val="2"/>
    </font>
    <font>
      <b/>
      <sz val="14"/>
      <color theme="1"/>
      <name val="Segoe UI"/>
      <family val="2"/>
    </font>
    <font>
      <sz val="9"/>
      <color theme="1"/>
      <name val="Segoe UI"/>
      <family val="2"/>
    </font>
    <font>
      <sz val="14"/>
      <color theme="1"/>
      <name val="Segoe UI"/>
      <family val="2"/>
    </font>
    <font>
      <b/>
      <sz val="16"/>
      <color rgb="FFFF0000"/>
      <name val="Segoe UI"/>
      <family val="2"/>
    </font>
    <font>
      <b/>
      <sz val="10"/>
      <color theme="1"/>
      <name val="Calibri"/>
      <family val="2"/>
      <scheme val="minor"/>
    </font>
    <font>
      <sz val="16"/>
      <color theme="1"/>
      <name val="Segoe UI"/>
      <family val="2"/>
    </font>
    <font>
      <sz val="12"/>
      <color theme="1"/>
      <name val="Calibri"/>
      <family val="2"/>
      <scheme val="minor"/>
    </font>
    <font>
      <b/>
      <sz val="12"/>
      <color rgb="FF515151"/>
      <name val="Segoe UI"/>
      <family val="2"/>
    </font>
    <font>
      <sz val="12"/>
      <color rgb="FF515151"/>
      <name val="Segoe UI"/>
      <family val="2"/>
    </font>
    <font>
      <b/>
      <sz val="8"/>
      <color rgb="FFFF0000"/>
      <name val="Calibri"/>
      <family val="2"/>
      <scheme val="minor"/>
    </font>
    <font>
      <sz val="7"/>
      <name val="Calibri"/>
      <family val="2"/>
      <scheme val="minor"/>
    </font>
    <font>
      <sz val="8"/>
      <name val="Calibri"/>
      <family val="2"/>
    </font>
    <font>
      <b/>
      <sz val="6"/>
      <name val="Calibri"/>
      <family val="2"/>
      <scheme val="minor"/>
    </font>
    <font>
      <sz val="6"/>
      <name val="Calibri"/>
      <family val="2"/>
      <scheme val="minor"/>
    </font>
    <font>
      <sz val="9"/>
      <name val="Calibri"/>
      <family val="2"/>
      <scheme val="minor"/>
    </font>
    <font>
      <b/>
      <sz val="10"/>
      <name val="Calibri"/>
      <family val="2"/>
      <scheme val="minor"/>
    </font>
    <font>
      <b/>
      <sz val="7.4"/>
      <name val="Arial"/>
      <family val="2"/>
    </font>
    <font>
      <b/>
      <sz val="18"/>
      <color rgb="FFFF0000"/>
      <name val="Arial"/>
      <family val="2"/>
    </font>
    <font>
      <b/>
      <strike/>
      <sz val="10"/>
      <color rgb="FF0000FF"/>
      <name val="Arial"/>
      <family val="2"/>
    </font>
    <font>
      <sz val="5"/>
      <name val="Calibri"/>
      <family val="2"/>
      <scheme val="minor"/>
    </font>
    <font>
      <b/>
      <sz val="5"/>
      <name val="Calibri"/>
      <family val="2"/>
      <scheme val="minor"/>
    </font>
    <font>
      <b/>
      <sz val="12"/>
      <name val="Calibri"/>
      <family val="2"/>
    </font>
    <font>
      <sz val="6"/>
      <name val="Calibri"/>
      <family val="2"/>
    </font>
    <font>
      <b/>
      <sz val="6"/>
      <name val="Calibri"/>
      <family val="2"/>
    </font>
    <font>
      <b/>
      <sz val="11"/>
      <color theme="0"/>
      <name val="Arial"/>
      <family val="2"/>
    </font>
    <font>
      <sz val="7"/>
      <color theme="1"/>
      <name val="Arial"/>
      <family val="2"/>
    </font>
    <font>
      <sz val="7"/>
      <color indexed="81"/>
      <name val="Tahoma"/>
      <family val="2"/>
    </font>
    <font>
      <b/>
      <sz val="6"/>
      <name val="Arial"/>
      <family val="2"/>
    </font>
    <font>
      <b/>
      <sz val="9"/>
      <color rgb="FFFF0000"/>
      <name val="Arial"/>
      <family val="2"/>
    </font>
    <font>
      <sz val="10.5"/>
      <color rgb="FFFF0000"/>
      <name val="Calibri"/>
      <family val="2"/>
    </font>
    <font>
      <sz val="14"/>
      <color rgb="FFFF0000"/>
      <name val="Calibri"/>
      <family val="2"/>
    </font>
    <font>
      <sz val="16"/>
      <color theme="1"/>
      <name val="Arial"/>
      <family val="2"/>
    </font>
    <font>
      <sz val="12"/>
      <color rgb="FFFF0000"/>
      <name val="Calibri"/>
      <family val="2"/>
    </font>
    <font>
      <sz val="26"/>
      <name val="Calibri"/>
      <family val="2"/>
    </font>
    <font>
      <sz val="10"/>
      <color rgb="FF0000FF"/>
      <name val="Arial"/>
      <family val="2"/>
    </font>
    <font>
      <b/>
      <sz val="10"/>
      <color rgb="FF0000FF"/>
      <name val="Arial"/>
      <family val="2"/>
    </font>
    <font>
      <sz val="7"/>
      <name val="Calibri"/>
      <family val="2"/>
    </font>
    <font>
      <sz val="13"/>
      <name val="Arial"/>
      <family val="2"/>
    </font>
    <font>
      <sz val="14"/>
      <color indexed="81"/>
      <name val="Tahoma"/>
      <family val="2"/>
    </font>
    <font>
      <sz val="18"/>
      <color indexed="81"/>
      <name val="Tahoma"/>
      <family val="2"/>
    </font>
    <font>
      <sz val="22"/>
      <color indexed="81"/>
      <name val="Tahoma"/>
      <family val="2"/>
    </font>
    <font>
      <b/>
      <sz val="12"/>
      <color rgb="FFFF0000"/>
      <name val="Calibri"/>
      <family val="2"/>
    </font>
    <font>
      <b/>
      <sz val="14"/>
      <color rgb="FFFF0000"/>
      <name val="Calibri"/>
      <family val="2"/>
    </font>
  </fonts>
  <fills count="6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7"/>
        <bgColor indexed="64"/>
      </patternFill>
    </fill>
    <fill>
      <patternFill patternType="solid">
        <fgColor indexed="50"/>
        <bgColor indexed="64"/>
      </patternFill>
    </fill>
    <fill>
      <patternFill patternType="solid">
        <fgColor theme="0"/>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40"/>
        <bgColor indexed="64"/>
      </patternFill>
    </fill>
    <fill>
      <patternFill patternType="solid">
        <fgColor indexed="51"/>
        <bgColor indexed="64"/>
      </patternFill>
    </fill>
    <fill>
      <patternFill patternType="solid">
        <fgColor rgb="FFFFC000"/>
        <bgColor indexed="64"/>
      </patternFill>
    </fill>
    <fill>
      <patternFill patternType="solid">
        <fgColor rgb="FFFFFF00"/>
        <bgColor indexed="64"/>
      </patternFill>
    </fill>
    <fill>
      <patternFill patternType="solid">
        <fgColor indexed="61"/>
        <bgColor indexed="64"/>
      </patternFill>
    </fill>
    <fill>
      <patternFill patternType="solid">
        <fgColor indexed="13"/>
        <bgColor indexed="64"/>
      </patternFill>
    </fill>
    <fill>
      <patternFill patternType="solid">
        <fgColor indexed="53"/>
        <bgColor indexed="64"/>
      </patternFill>
    </fill>
    <fill>
      <patternFill patternType="solid">
        <fgColor indexed="52"/>
        <bgColor indexed="64"/>
      </patternFill>
    </fill>
    <fill>
      <patternFill patternType="solid">
        <fgColor indexed="48"/>
        <bgColor indexed="64"/>
      </patternFill>
    </fill>
    <fill>
      <patternFill patternType="solid">
        <fgColor rgb="FFFF0000"/>
        <bgColor indexed="64"/>
      </patternFill>
    </fill>
    <fill>
      <patternFill patternType="solid">
        <fgColor indexed="23"/>
        <bgColor indexed="64"/>
      </patternFill>
    </fill>
    <fill>
      <patternFill patternType="solid">
        <fgColor rgb="FF92D050"/>
        <bgColor indexed="64"/>
      </patternFill>
    </fill>
    <fill>
      <patternFill patternType="solid">
        <fgColor indexed="44"/>
        <bgColor indexed="64"/>
      </patternFill>
    </fill>
    <fill>
      <patternFill patternType="solid">
        <fgColor indexed="31"/>
        <bgColor indexed="64"/>
      </patternFill>
    </fill>
    <fill>
      <patternFill patternType="solid">
        <fgColor theme="7" tint="0.39997558519241921"/>
        <bgColor indexed="64"/>
      </patternFill>
    </fill>
    <fill>
      <patternFill patternType="solid">
        <fgColor indexed="12"/>
        <bgColor indexed="64"/>
      </patternFill>
    </fill>
    <fill>
      <patternFill patternType="solid">
        <fgColor indexed="46"/>
        <bgColor indexed="64"/>
      </patternFill>
    </fill>
    <fill>
      <patternFill patternType="solid">
        <fgColor indexed="47"/>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FF"/>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CCFF"/>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4"/>
      </patternFill>
    </fill>
    <fill>
      <patternFill patternType="solid">
        <fgColor theme="6"/>
      </patternFill>
    </fill>
    <fill>
      <patternFill patternType="solid">
        <fgColor rgb="FFFFFFCC"/>
        <bgColor indexed="64"/>
      </patternFill>
    </fill>
    <fill>
      <patternFill patternType="solid">
        <fgColor rgb="FFD9D9D9"/>
        <bgColor indexed="64"/>
      </patternFill>
    </fill>
    <fill>
      <patternFill patternType="solid">
        <fgColor theme="3" tint="0.79998168889431442"/>
        <bgColor indexed="64"/>
      </patternFill>
    </fill>
    <fill>
      <patternFill patternType="solid">
        <fgColor rgb="FFEAEFF7"/>
        <bgColor indexed="64"/>
      </patternFill>
    </fill>
    <fill>
      <patternFill patternType="solid">
        <fgColor rgb="FFE7E6E6"/>
        <bgColor indexed="64"/>
      </patternFill>
    </fill>
    <fill>
      <patternFill patternType="solid">
        <fgColor rgb="FFE2F0D9"/>
        <bgColor indexed="64"/>
      </patternFill>
    </fill>
    <fill>
      <patternFill patternType="solid">
        <fgColor theme="0" tint="-4.9989318521683403E-2"/>
        <bgColor indexed="64"/>
      </patternFill>
    </fill>
    <fill>
      <patternFill patternType="solid">
        <fgColor theme="2"/>
        <bgColor indexed="64"/>
      </patternFill>
    </fill>
    <fill>
      <patternFill patternType="solid">
        <fgColor rgb="FFFFFF99"/>
        <bgColor indexed="64"/>
      </patternFill>
    </fill>
    <fill>
      <patternFill patternType="solid">
        <fgColor theme="0" tint="-0.249977111117893"/>
        <bgColor indexed="64"/>
      </patternFill>
    </fill>
    <fill>
      <patternFill patternType="solid">
        <fgColor rgb="FFE9EBF5"/>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7"/>
        <bgColor indexed="64"/>
      </patternFill>
    </fill>
    <fill>
      <patternFill patternType="solid">
        <fgColor rgb="FF00FF00"/>
        <bgColor indexed="64"/>
      </patternFill>
    </fill>
    <fill>
      <patternFill patternType="solid">
        <fgColor theme="7" tint="0.79998168889431442"/>
        <bgColor indexed="64"/>
      </patternFill>
    </fill>
    <fill>
      <patternFill patternType="solid">
        <fgColor rgb="FFFFCC00"/>
        <bgColor indexed="64"/>
      </patternFill>
    </fill>
    <fill>
      <patternFill patternType="solid">
        <fgColor theme="6" tint="0.59999389629810485"/>
        <bgColor indexed="64"/>
      </patternFill>
    </fill>
    <fill>
      <patternFill patternType="solid">
        <fgColor theme="7" tint="0.59999389629810485"/>
        <bgColor indexed="64"/>
      </patternFill>
    </fill>
  </fills>
  <borders count="1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medium">
        <color indexed="64"/>
      </left>
      <right style="thin">
        <color auto="1"/>
      </right>
      <top/>
      <bottom style="thin">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rgb="FF000000"/>
      </left>
      <right style="medium">
        <color rgb="FF000000"/>
      </right>
      <top/>
      <bottom style="medium">
        <color rgb="FF000000"/>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s>
  <cellStyleXfs count="39">
    <xf numFmtId="0" fontId="0" fillId="0" borderId="0"/>
    <xf numFmtId="0" fontId="10" fillId="0" borderId="0"/>
    <xf numFmtId="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35" fillId="0" borderId="0"/>
    <xf numFmtId="0" fontId="10" fillId="0" borderId="0"/>
    <xf numFmtId="9" fontId="10" fillId="0" borderId="0" applyFont="0" applyFill="0" applyBorder="0" applyAlignment="0" applyProtection="0"/>
    <xf numFmtId="0" fontId="41" fillId="0" borderId="0"/>
    <xf numFmtId="9" fontId="41" fillId="0" borderId="0" applyFont="0" applyFill="0" applyBorder="0" applyAlignment="0" applyProtection="0"/>
    <xf numFmtId="0" fontId="41" fillId="0" borderId="0" applyFont="0" applyFill="0" applyBorder="0" applyAlignment="0" applyProtection="0"/>
    <xf numFmtId="0" fontId="10" fillId="0" borderId="0" applyFont="0" applyFill="0" applyBorder="0" applyAlignment="0" applyProtection="0"/>
    <xf numFmtId="0" fontId="41" fillId="0" borderId="0" applyFont="0" applyFill="0" applyBorder="0" applyAlignment="0" applyProtection="0"/>
    <xf numFmtId="170" fontId="41" fillId="0" borderId="0" applyFont="0" applyFill="0" applyBorder="0" applyAlignment="0" applyProtection="0"/>
    <xf numFmtId="170" fontId="41" fillId="0" borderId="0" applyFont="0" applyFill="0" applyBorder="0" applyAlignment="0" applyProtection="0"/>
    <xf numFmtId="0" fontId="10" fillId="0" borderId="0"/>
    <xf numFmtId="0" fontId="10" fillId="0" borderId="0" applyFont="0" applyFill="0" applyBorder="0" applyAlignment="0" applyProtection="0"/>
    <xf numFmtId="9" fontId="72"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0" fontId="9" fillId="0" borderId="0"/>
    <xf numFmtId="0" fontId="94" fillId="46" borderId="0" applyNumberFormat="0" applyBorder="0" applyAlignment="0" applyProtection="0"/>
    <xf numFmtId="0" fontId="94" fillId="47" borderId="0" applyNumberFormat="0" applyBorder="0" applyAlignment="0" applyProtection="0"/>
    <xf numFmtId="0" fontId="8" fillId="0" borderId="0"/>
    <xf numFmtId="0" fontId="7" fillId="0" borderId="0"/>
    <xf numFmtId="0" fontId="10" fillId="0" borderId="0" applyNumberFormat="0" applyFont="0" applyFill="0" applyBorder="0" applyAlignment="0" applyProtection="0">
      <alignment vertical="top"/>
    </xf>
    <xf numFmtId="9" fontId="7" fillId="0" borderId="0" applyFont="0" applyFill="0" applyBorder="0" applyAlignment="0" applyProtection="0"/>
    <xf numFmtId="0" fontId="6" fillId="0" borderId="0"/>
    <xf numFmtId="9" fontId="10" fillId="0" borderId="0" applyFont="0" applyFill="0" applyBorder="0" applyAlignment="0" applyProtection="0"/>
    <xf numFmtId="41" fontId="72" fillId="0" borderId="0" applyFont="0" applyFill="0" applyBorder="0" applyAlignment="0" applyProtection="0"/>
    <xf numFmtId="9" fontId="10" fillId="0" borderId="0" applyFont="0" applyFill="0" applyBorder="0" applyAlignment="0" applyProtection="0"/>
    <xf numFmtId="0" fontId="10" fillId="0" borderId="0" applyFont="0" applyFill="0" applyBorder="0" applyAlignment="0" applyProtection="0"/>
    <xf numFmtId="170" fontId="10"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3" fillId="0" borderId="0"/>
  </cellStyleXfs>
  <cellXfs count="2703">
    <xf numFmtId="0" fontId="0" fillId="0" borderId="0" xfId="0"/>
    <xf numFmtId="0" fontId="12" fillId="4" borderId="2" xfId="1" applyFont="1" applyFill="1" applyBorder="1" applyAlignment="1">
      <alignment horizontal="center" vertical="center"/>
    </xf>
    <xf numFmtId="0" fontId="10" fillId="0" borderId="0" xfId="1" applyAlignment="1">
      <alignment vertical="center"/>
    </xf>
    <xf numFmtId="0" fontId="12" fillId="5" borderId="2" xfId="1" applyFont="1" applyFill="1" applyBorder="1" applyAlignment="1">
      <alignment horizontal="center" vertical="center"/>
    </xf>
    <xf numFmtId="0" fontId="10" fillId="2" borderId="1" xfId="1" applyFill="1" applyBorder="1" applyAlignment="1">
      <alignment horizontal="center" vertical="center" wrapText="1"/>
    </xf>
    <xf numFmtId="0" fontId="10" fillId="2" borderId="3" xfId="1" applyFill="1" applyBorder="1" applyAlignment="1">
      <alignment horizontal="center" vertical="center" wrapText="1"/>
    </xf>
    <xf numFmtId="165" fontId="10" fillId="0" borderId="10" xfId="1" applyNumberFormat="1" applyBorder="1" applyAlignment="1">
      <alignment horizontal="center" vertical="center" wrapText="1"/>
    </xf>
    <xf numFmtId="0" fontId="10" fillId="0" borderId="9" xfId="1" applyBorder="1" applyAlignment="1">
      <alignment horizontal="center" vertical="center" wrapText="1"/>
    </xf>
    <xf numFmtId="0" fontId="10" fillId="0" borderId="2" xfId="1" applyBorder="1" applyAlignment="1">
      <alignment horizontal="center" vertical="center" wrapText="1"/>
    </xf>
    <xf numFmtId="0" fontId="10" fillId="0" borderId="2" xfId="1" applyBorder="1" applyAlignment="1">
      <alignment vertical="center"/>
    </xf>
    <xf numFmtId="10" fontId="10" fillId="0" borderId="2" xfId="1" applyNumberFormat="1" applyBorder="1" applyAlignment="1">
      <alignment horizontal="center" vertical="center" wrapText="1"/>
    </xf>
    <xf numFmtId="0" fontId="10" fillId="0" borderId="10" xfId="1" applyBorder="1" applyAlignment="1">
      <alignment horizontal="center" vertical="center" wrapText="1"/>
    </xf>
    <xf numFmtId="165" fontId="10" fillId="0" borderId="15" xfId="1" applyNumberFormat="1" applyBorder="1" applyAlignment="1">
      <alignment horizontal="center" vertical="center" wrapText="1"/>
    </xf>
    <xf numFmtId="9" fontId="10" fillId="0" borderId="2" xfId="1" applyNumberFormat="1" applyBorder="1" applyAlignment="1">
      <alignment horizontal="center" vertical="center" wrapText="1"/>
    </xf>
    <xf numFmtId="0" fontId="10" fillId="0" borderId="1" xfId="1" applyBorder="1" applyAlignment="1">
      <alignment horizontal="center" vertical="center" wrapText="1"/>
    </xf>
    <xf numFmtId="0" fontId="10" fillId="0" borderId="15" xfId="1" applyBorder="1" applyAlignment="1">
      <alignment horizontal="center" vertical="center" wrapText="1"/>
    </xf>
    <xf numFmtId="0" fontId="10" fillId="0" borderId="19" xfId="1" applyBorder="1" applyAlignment="1">
      <alignment horizontal="center" vertical="center" wrapText="1"/>
    </xf>
    <xf numFmtId="0" fontId="10" fillId="0" borderId="32" xfId="1" applyBorder="1" applyAlignment="1">
      <alignment horizontal="center" vertical="center" wrapText="1"/>
    </xf>
    <xf numFmtId="0" fontId="10" fillId="0" borderId="9" xfId="1" applyBorder="1" applyAlignment="1">
      <alignment horizontal="justify" vertical="center" wrapText="1"/>
    </xf>
    <xf numFmtId="0" fontId="10" fillId="0" borderId="2" xfId="1" applyBorder="1" applyAlignment="1">
      <alignment horizontal="justify" vertical="center" wrapText="1"/>
    </xf>
    <xf numFmtId="0" fontId="10" fillId="0" borderId="2" xfId="1" applyBorder="1" applyAlignment="1">
      <alignment horizontal="justify" vertical="center"/>
    </xf>
    <xf numFmtId="0" fontId="10" fillId="0" borderId="0" xfId="1" applyAlignment="1">
      <alignment horizontal="justify" vertical="center"/>
    </xf>
    <xf numFmtId="0" fontId="10" fillId="0" borderId="13" xfId="1" applyBorder="1" applyAlignment="1">
      <alignment horizontal="center" vertical="center" wrapText="1"/>
    </xf>
    <xf numFmtId="0" fontId="10" fillId="0" borderId="1" xfId="1" applyBorder="1" applyAlignment="1">
      <alignment vertical="center"/>
    </xf>
    <xf numFmtId="0" fontId="10" fillId="0" borderId="0" xfId="1" applyAlignment="1">
      <alignment horizontal="center" vertical="center" wrapText="1"/>
    </xf>
    <xf numFmtId="10" fontId="10" fillId="0" borderId="0" xfId="1" applyNumberFormat="1" applyAlignment="1">
      <alignment horizontal="center" vertical="center" wrapText="1"/>
    </xf>
    <xf numFmtId="0" fontId="10" fillId="0" borderId="25" xfId="1" applyBorder="1" applyAlignment="1">
      <alignment horizontal="center" vertical="center" wrapText="1"/>
    </xf>
    <xf numFmtId="0" fontId="10" fillId="0" borderId="5" xfId="1" applyBorder="1" applyAlignment="1">
      <alignment horizontal="center" vertical="center" wrapText="1"/>
    </xf>
    <xf numFmtId="0" fontId="10" fillId="0" borderId="5" xfId="1" applyBorder="1" applyAlignment="1">
      <alignment vertical="center"/>
    </xf>
    <xf numFmtId="0" fontId="31" fillId="0" borderId="0" xfId="1" applyFont="1" applyAlignment="1">
      <alignment horizontal="center" vertical="center" wrapText="1"/>
    </xf>
    <xf numFmtId="0" fontId="31" fillId="0" borderId="0" xfId="1" applyFont="1" applyAlignment="1">
      <alignment vertical="center"/>
    </xf>
    <xf numFmtId="0" fontId="32" fillId="0" borderId="0" xfId="1" applyFont="1" applyAlignment="1">
      <alignment vertical="center"/>
    </xf>
    <xf numFmtId="0" fontId="10" fillId="0" borderId="0" xfId="8"/>
    <xf numFmtId="0" fontId="40" fillId="18" borderId="17" xfId="8" applyFont="1" applyFill="1" applyBorder="1" applyAlignment="1">
      <alignment horizontal="center"/>
    </xf>
    <xf numFmtId="0" fontId="40" fillId="18" borderId="5" xfId="8" applyFont="1" applyFill="1" applyBorder="1" applyAlignment="1">
      <alignment horizontal="center"/>
    </xf>
    <xf numFmtId="0" fontId="40" fillId="18" borderId="28" xfId="8" applyFont="1" applyFill="1" applyBorder="1" applyAlignment="1">
      <alignment horizontal="center"/>
    </xf>
    <xf numFmtId="9" fontId="39" fillId="0" borderId="2" xfId="3" applyFont="1" applyBorder="1" applyAlignment="1">
      <alignment horizontal="center"/>
    </xf>
    <xf numFmtId="9" fontId="42" fillId="0" borderId="2" xfId="10" applyNumberFormat="1" applyFont="1" applyBorder="1" applyAlignment="1">
      <alignment horizontal="center" vertical="center"/>
    </xf>
    <xf numFmtId="0" fontId="46" fillId="0" borderId="0" xfId="8" applyFont="1"/>
    <xf numFmtId="165" fontId="17" fillId="6" borderId="0" xfId="3" applyNumberFormat="1" applyFont="1" applyFill="1" applyBorder="1" applyAlignment="1">
      <alignment horizontal="center" vertical="center" wrapText="1"/>
    </xf>
    <xf numFmtId="167" fontId="24" fillId="6" borderId="0" xfId="13" applyNumberFormat="1" applyFont="1" applyFill="1" applyBorder="1" applyAlignment="1">
      <alignment horizontal="justify" vertical="center" wrapText="1"/>
    </xf>
    <xf numFmtId="167" fontId="24" fillId="6" borderId="0" xfId="13" applyNumberFormat="1" applyFont="1" applyFill="1" applyBorder="1" applyAlignment="1">
      <alignment vertical="center" wrapText="1"/>
    </xf>
    <xf numFmtId="9" fontId="17" fillId="6" borderId="0" xfId="3" applyFont="1" applyFill="1" applyBorder="1" applyAlignment="1">
      <alignment horizontal="center" vertical="center" wrapText="1"/>
    </xf>
    <xf numFmtId="0" fontId="41" fillId="0" borderId="0" xfId="10"/>
    <xf numFmtId="0" fontId="13" fillId="26" borderId="2" xfId="1" applyFont="1" applyFill="1" applyBorder="1" applyAlignment="1">
      <alignment horizontal="center" vertical="center" wrapText="1"/>
    </xf>
    <xf numFmtId="2" fontId="13" fillId="0" borderId="2" xfId="11" applyNumberFormat="1" applyFont="1" applyFill="1" applyBorder="1" applyAlignment="1">
      <alignment horizontal="center" vertical="center" wrapText="1"/>
    </xf>
    <xf numFmtId="2" fontId="13" fillId="0" borderId="3" xfId="11" applyNumberFormat="1" applyFont="1" applyFill="1" applyBorder="1" applyAlignment="1">
      <alignment horizontal="center" vertical="center" wrapText="1"/>
    </xf>
    <xf numFmtId="0" fontId="60" fillId="0" borderId="2" xfId="10" applyFont="1" applyBorder="1" applyAlignment="1">
      <alignment horizontal="center" vertical="center" wrapText="1"/>
    </xf>
    <xf numFmtId="0" fontId="10" fillId="0" borderId="0" xfId="1"/>
    <xf numFmtId="0" fontId="12" fillId="0" borderId="36" xfId="1" applyFont="1" applyBorder="1" applyAlignment="1">
      <alignment horizontal="left"/>
    </xf>
    <xf numFmtId="0" fontId="61" fillId="0" borderId="0" xfId="1" applyFont="1" applyAlignment="1">
      <alignment horizontal="center"/>
    </xf>
    <xf numFmtId="0" fontId="21" fillId="0" borderId="51" xfId="1" applyFont="1" applyBorder="1"/>
    <xf numFmtId="0" fontId="61" fillId="0" borderId="52" xfId="1" applyFont="1" applyBorder="1"/>
    <xf numFmtId="0" fontId="20" fillId="0" borderId="52" xfId="1" applyFont="1" applyBorder="1"/>
    <xf numFmtId="0" fontId="16" fillId="0" borderId="0" xfId="1" applyFont="1" applyAlignment="1">
      <alignment horizontal="center"/>
    </xf>
    <xf numFmtId="0" fontId="26" fillId="0" borderId="0" xfId="1" applyFont="1"/>
    <xf numFmtId="0" fontId="47" fillId="0" borderId="36" xfId="1" applyFont="1" applyBorder="1" applyAlignment="1">
      <alignment horizontal="justify" vertical="center"/>
    </xf>
    <xf numFmtId="0" fontId="10" fillId="0" borderId="54" xfId="1" applyBorder="1"/>
    <xf numFmtId="0" fontId="19" fillId="0" borderId="51" xfId="1" applyFont="1" applyBorder="1" applyAlignment="1">
      <alignment horizontal="left"/>
    </xf>
    <xf numFmtId="0" fontId="10" fillId="0" borderId="52" xfId="1" applyBorder="1"/>
    <xf numFmtId="0" fontId="10" fillId="0" borderId="53" xfId="1" applyBorder="1" applyAlignment="1">
      <alignment horizontal="left"/>
    </xf>
    <xf numFmtId="0" fontId="10" fillId="0" borderId="36" xfId="1" applyBorder="1" applyAlignment="1">
      <alignment horizontal="left"/>
    </xf>
    <xf numFmtId="0" fontId="10" fillId="6" borderId="0" xfId="1" applyFill="1"/>
    <xf numFmtId="0" fontId="21" fillId="0" borderId="0" xfId="1" applyFont="1" applyAlignment="1">
      <alignment horizontal="justify" vertical="center"/>
    </xf>
    <xf numFmtId="0" fontId="12" fillId="0" borderId="0" xfId="1" applyFont="1" applyAlignment="1">
      <alignment vertical="center"/>
    </xf>
    <xf numFmtId="0" fontId="20" fillId="0" borderId="0" xfId="1" applyFont="1" applyAlignment="1">
      <alignment horizontal="justify" vertical="center"/>
    </xf>
    <xf numFmtId="0" fontId="21" fillId="0" borderId="54" xfId="1" applyFont="1" applyBorder="1" applyAlignment="1">
      <alignment horizontal="justify" vertical="center"/>
    </xf>
    <xf numFmtId="166" fontId="10" fillId="0" borderId="2" xfId="18" applyNumberFormat="1" applyFont="1" applyBorder="1" applyAlignment="1">
      <alignment horizontal="center" vertical="center" wrapText="1"/>
    </xf>
    <xf numFmtId="166" fontId="10" fillId="0" borderId="2" xfId="18" applyNumberFormat="1" applyFont="1" applyBorder="1" applyAlignment="1">
      <alignment horizontal="justify" vertical="center" wrapText="1"/>
    </xf>
    <xf numFmtId="166" fontId="10" fillId="0" borderId="1" xfId="18" applyNumberFormat="1" applyFont="1" applyBorder="1" applyAlignment="1">
      <alignment horizontal="center" vertical="center" wrapText="1"/>
    </xf>
    <xf numFmtId="166" fontId="10" fillId="0" borderId="0" xfId="18" applyNumberFormat="1" applyFont="1" applyBorder="1" applyAlignment="1">
      <alignment horizontal="center" vertical="center" wrapText="1"/>
    </xf>
    <xf numFmtId="166" fontId="10" fillId="0" borderId="5" xfId="18" applyNumberFormat="1" applyFont="1" applyBorder="1" applyAlignment="1">
      <alignment horizontal="center" vertical="center" wrapText="1"/>
    </xf>
    <xf numFmtId="166" fontId="10" fillId="0" borderId="23" xfId="18" applyNumberFormat="1" applyFont="1" applyBorder="1" applyAlignment="1">
      <alignment horizontal="center" vertical="center" wrapText="1"/>
    </xf>
    <xf numFmtId="0" fontId="10" fillId="6" borderId="0" xfId="1" applyFill="1" applyAlignment="1">
      <alignment horizontal="center" wrapText="1"/>
    </xf>
    <xf numFmtId="0" fontId="16" fillId="6" borderId="0" xfId="1" applyFont="1" applyFill="1" applyAlignment="1">
      <alignment horizontal="center"/>
    </xf>
    <xf numFmtId="0" fontId="12" fillId="0" borderId="0" xfId="1" applyFont="1"/>
    <xf numFmtId="0" fontId="19" fillId="0" borderId="0" xfId="1" applyFont="1"/>
    <xf numFmtId="0" fontId="20" fillId="3" borderId="0" xfId="1" applyFont="1" applyFill="1" applyAlignment="1">
      <alignment horizontal="justify" vertical="center"/>
    </xf>
    <xf numFmtId="0" fontId="20" fillId="3" borderId="0" xfId="1" applyFont="1" applyFill="1" applyAlignment="1">
      <alignment vertical="center"/>
    </xf>
    <xf numFmtId="9" fontId="20" fillId="3" borderId="0" xfId="1" applyNumberFormat="1" applyFont="1" applyFill="1" applyAlignment="1">
      <alignment horizontal="justify" vertical="center"/>
    </xf>
    <xf numFmtId="0" fontId="61" fillId="3" borderId="0" xfId="1" applyFont="1" applyFill="1"/>
    <xf numFmtId="0" fontId="21" fillId="3" borderId="0" xfId="1" applyFont="1" applyFill="1" applyAlignment="1">
      <alignment horizontal="justify" vertical="center"/>
    </xf>
    <xf numFmtId="0" fontId="10" fillId="3" borderId="0" xfId="1" applyFill="1"/>
    <xf numFmtId="9" fontId="28" fillId="3" borderId="0" xfId="1" applyNumberFormat="1" applyFont="1" applyFill="1" applyAlignment="1">
      <alignment horizontal="center" vertical="center"/>
    </xf>
    <xf numFmtId="165" fontId="27" fillId="3" borderId="0" xfId="5" applyNumberFormat="1" applyFont="1" applyFill="1" applyBorder="1" applyAlignment="1">
      <alignment vertical="center"/>
    </xf>
    <xf numFmtId="9" fontId="10" fillId="3" borderId="0" xfId="1" applyNumberFormat="1" applyFill="1" applyAlignment="1">
      <alignment vertical="center"/>
    </xf>
    <xf numFmtId="0" fontId="61" fillId="3" borderId="0" xfId="1" applyFont="1" applyFill="1" applyAlignment="1">
      <alignment horizontal="justify" vertical="center"/>
    </xf>
    <xf numFmtId="0" fontId="24" fillId="0" borderId="0" xfId="1" applyFont="1" applyAlignment="1">
      <alignment horizontal="center"/>
    </xf>
    <xf numFmtId="0" fontId="12" fillId="3" borderId="0" xfId="1" applyFont="1" applyFill="1" applyAlignment="1">
      <alignment horizontal="left"/>
    </xf>
    <xf numFmtId="0" fontId="61" fillId="3" borderId="0" xfId="1" applyFont="1" applyFill="1" applyAlignment="1">
      <alignment horizontal="center"/>
    </xf>
    <xf numFmtId="0" fontId="10" fillId="3" borderId="0" xfId="1" applyFill="1" applyAlignment="1">
      <alignment horizontal="center"/>
    </xf>
    <xf numFmtId="0" fontId="26" fillId="3" borderId="0" xfId="1" applyFont="1" applyFill="1" applyAlignment="1">
      <alignment vertical="center"/>
    </xf>
    <xf numFmtId="0" fontId="21" fillId="3" borderId="0" xfId="1" applyFont="1" applyFill="1"/>
    <xf numFmtId="0" fontId="20" fillId="3" borderId="0" xfId="1" applyFont="1" applyFill="1"/>
    <xf numFmtId="0" fontId="78" fillId="3" borderId="0" xfId="1" applyFont="1" applyFill="1" applyAlignment="1">
      <alignment vertical="center" wrapText="1"/>
    </xf>
    <xf numFmtId="170" fontId="62" fillId="0" borderId="0" xfId="5" applyNumberFormat="1" applyFont="1" applyBorder="1" applyAlignment="1">
      <alignment horizontal="center"/>
    </xf>
    <xf numFmtId="170" fontId="62" fillId="3" borderId="0" xfId="5" applyNumberFormat="1" applyFont="1" applyFill="1" applyBorder="1" applyAlignment="1">
      <alignment horizontal="center"/>
    </xf>
    <xf numFmtId="0" fontId="12" fillId="3" borderId="0" xfId="1" applyFont="1" applyFill="1" applyAlignment="1">
      <alignment horizontal="center" vertical="center" wrapText="1"/>
    </xf>
    <xf numFmtId="0" fontId="26" fillId="3" borderId="0" xfId="1" applyFont="1" applyFill="1"/>
    <xf numFmtId="0" fontId="47" fillId="3" borderId="0" xfId="1" applyFont="1" applyFill="1" applyAlignment="1">
      <alignment vertical="center"/>
    </xf>
    <xf numFmtId="0" fontId="61" fillId="3" borderId="0" xfId="1" applyFont="1" applyFill="1" applyAlignment="1">
      <alignment horizontal="center" vertical="center"/>
    </xf>
    <xf numFmtId="0" fontId="47" fillId="3" borderId="0" xfId="1" applyFont="1" applyFill="1" applyAlignment="1">
      <alignment horizontal="justify" vertical="center"/>
    </xf>
    <xf numFmtId="169" fontId="10" fillId="3" borderId="0" xfId="1" applyNumberFormat="1" applyFill="1" applyAlignment="1">
      <alignment horizontal="center" vertical="center" wrapText="1"/>
    </xf>
    <xf numFmtId="169" fontId="21" fillId="3" borderId="0" xfId="1" applyNumberFormat="1" applyFont="1" applyFill="1" applyAlignment="1">
      <alignment horizontal="center" vertical="center" wrapText="1"/>
    </xf>
    <xf numFmtId="10" fontId="10" fillId="3" borderId="0" xfId="5" applyNumberFormat="1" applyFont="1" applyFill="1" applyBorder="1" applyAlignment="1">
      <alignment horizontal="center" vertical="center"/>
    </xf>
    <xf numFmtId="9" fontId="10" fillId="3" borderId="0" xfId="1" applyNumberFormat="1" applyFill="1" applyAlignment="1">
      <alignment horizontal="justify" vertical="center"/>
    </xf>
    <xf numFmtId="1" fontId="21" fillId="3" borderId="0" xfId="20" applyNumberFormat="1" applyFont="1" applyFill="1" applyBorder="1" applyAlignment="1">
      <alignment horizontal="center" vertical="center"/>
    </xf>
    <xf numFmtId="165" fontId="10" fillId="3" borderId="0" xfId="1" applyNumberFormat="1" applyFill="1" applyAlignment="1">
      <alignment horizontal="center" vertical="center"/>
    </xf>
    <xf numFmtId="9" fontId="66" fillId="3" borderId="0" xfId="1" applyNumberFormat="1" applyFont="1" applyFill="1" applyAlignment="1">
      <alignment horizontal="justify" vertical="center"/>
    </xf>
    <xf numFmtId="0" fontId="21" fillId="3" borderId="0" xfId="1" applyFont="1" applyFill="1" applyAlignment="1">
      <alignment vertical="center"/>
    </xf>
    <xf numFmtId="10" fontId="10" fillId="3" borderId="0" xfId="20" applyNumberFormat="1" applyFont="1" applyFill="1" applyBorder="1" applyAlignment="1">
      <alignment horizontal="center" vertical="center"/>
    </xf>
    <xf numFmtId="9" fontId="21" fillId="3" borderId="0" xfId="20" applyFont="1" applyFill="1" applyBorder="1" applyAlignment="1">
      <alignment horizontal="justify" vertical="center"/>
    </xf>
    <xf numFmtId="0" fontId="10" fillId="3" borderId="0" xfId="1" applyFill="1" applyAlignment="1">
      <alignment vertical="center"/>
    </xf>
    <xf numFmtId="165" fontId="12" fillId="3" borderId="0" xfId="1" applyNumberFormat="1" applyFont="1" applyFill="1" applyAlignment="1">
      <alignment horizontal="center" vertical="center"/>
    </xf>
    <xf numFmtId="165" fontId="14" fillId="0" borderId="0" xfId="1" applyNumberFormat="1" applyFont="1" applyAlignment="1">
      <alignment horizontal="center"/>
    </xf>
    <xf numFmtId="9" fontId="10" fillId="0" borderId="0" xfId="1" applyNumberFormat="1" applyAlignment="1">
      <alignment horizontal="justify" vertical="center"/>
    </xf>
    <xf numFmtId="169" fontId="14" fillId="3" borderId="0" xfId="1" applyNumberFormat="1" applyFont="1" applyFill="1" applyAlignment="1">
      <alignment horizontal="center" vertical="center" wrapText="1"/>
    </xf>
    <xf numFmtId="165" fontId="14" fillId="3" borderId="0" xfId="1" applyNumberFormat="1" applyFont="1" applyFill="1" applyAlignment="1">
      <alignment horizontal="center"/>
    </xf>
    <xf numFmtId="0" fontId="67" fillId="3" borderId="0" xfId="1" applyFont="1" applyFill="1"/>
    <xf numFmtId="169" fontId="14" fillId="0" borderId="0" xfId="1" applyNumberFormat="1" applyFont="1" applyAlignment="1">
      <alignment vertical="center" wrapText="1"/>
    </xf>
    <xf numFmtId="9" fontId="14" fillId="0" borderId="0" xfId="1" applyNumberFormat="1" applyFont="1" applyAlignment="1">
      <alignment horizontal="center" vertical="center" wrapText="1"/>
    </xf>
    <xf numFmtId="10" fontId="14" fillId="0" borderId="0" xfId="1" applyNumberFormat="1" applyFont="1" applyAlignment="1">
      <alignment horizontal="center"/>
    </xf>
    <xf numFmtId="10" fontId="14" fillId="0" borderId="0" xfId="20" applyNumberFormat="1" applyFont="1" applyBorder="1" applyAlignment="1">
      <alignment horizontal="center"/>
    </xf>
    <xf numFmtId="0" fontId="21" fillId="0" borderId="52" xfId="1" applyFont="1" applyBorder="1" applyAlignment="1">
      <alignment horizontal="justify" vertical="center"/>
    </xf>
    <xf numFmtId="0" fontId="19" fillId="3" borderId="0" xfId="1" applyFont="1" applyFill="1" applyAlignment="1">
      <alignment horizontal="left"/>
    </xf>
    <xf numFmtId="0" fontId="10" fillId="3" borderId="0" xfId="1" applyFill="1" applyAlignment="1">
      <alignment vertical="top" wrapText="1"/>
    </xf>
    <xf numFmtId="0" fontId="10" fillId="3" borderId="0" xfId="1" applyFill="1" applyAlignment="1">
      <alignment vertical="top"/>
    </xf>
    <xf numFmtId="0" fontId="10" fillId="3" borderId="0" xfId="1" applyFill="1" applyAlignment="1">
      <alignment horizontal="left"/>
    </xf>
    <xf numFmtId="0" fontId="10" fillId="0" borderId="64" xfId="1" applyBorder="1" applyAlignment="1">
      <alignment horizontal="left"/>
    </xf>
    <xf numFmtId="0" fontId="10" fillId="0" borderId="65" xfId="1" applyBorder="1"/>
    <xf numFmtId="0" fontId="10" fillId="0" borderId="66" xfId="1" applyBorder="1"/>
    <xf numFmtId="0" fontId="19" fillId="0" borderId="67" xfId="1" applyFont="1" applyBorder="1" applyAlignment="1">
      <alignment horizontal="left"/>
    </xf>
    <xf numFmtId="0" fontId="10" fillId="0" borderId="67" xfId="1" applyBorder="1" applyAlignment="1">
      <alignment horizontal="left"/>
    </xf>
    <xf numFmtId="2" fontId="10" fillId="0" borderId="49" xfId="1" applyNumberFormat="1" applyBorder="1" applyAlignment="1">
      <alignment vertical="top" wrapText="1"/>
    </xf>
    <xf numFmtId="0" fontId="10" fillId="0" borderId="68" xfId="1" applyBorder="1"/>
    <xf numFmtId="0" fontId="10" fillId="0" borderId="69" xfId="1" applyBorder="1"/>
    <xf numFmtId="0" fontId="17" fillId="0" borderId="2" xfId="8" applyFont="1" applyBorder="1" applyAlignment="1">
      <alignment horizontal="center"/>
    </xf>
    <xf numFmtId="9" fontId="10" fillId="0" borderId="0" xfId="8" applyNumberFormat="1"/>
    <xf numFmtId="9" fontId="30" fillId="0" borderId="0" xfId="8" applyNumberFormat="1" applyFont="1"/>
    <xf numFmtId="0" fontId="12" fillId="6" borderId="2" xfId="1" applyFont="1" applyFill="1" applyBorder="1" applyAlignment="1">
      <alignment horizontal="justify" vertical="center" wrapText="1"/>
    </xf>
    <xf numFmtId="0" fontId="16" fillId="3" borderId="2" xfId="1" applyFont="1" applyFill="1" applyBorder="1" applyAlignment="1">
      <alignment horizontal="justify" vertical="center" wrapText="1"/>
    </xf>
    <xf numFmtId="0" fontId="16" fillId="3" borderId="1" xfId="1" applyFont="1" applyFill="1" applyBorder="1" applyAlignment="1">
      <alignment horizontal="justify" vertical="center" wrapText="1"/>
    </xf>
    <xf numFmtId="0" fontId="16" fillId="3" borderId="5" xfId="1" applyFont="1" applyFill="1" applyBorder="1" applyAlignment="1">
      <alignment horizontal="justify" vertical="center" wrapText="1"/>
    </xf>
    <xf numFmtId="0" fontId="10" fillId="3" borderId="0" xfId="1" applyFill="1" applyAlignment="1">
      <alignment horizontal="justify" vertical="center"/>
    </xf>
    <xf numFmtId="9" fontId="82" fillId="6" borderId="2" xfId="10" applyNumberFormat="1" applyFont="1" applyFill="1" applyBorder="1" applyAlignment="1">
      <alignment horizontal="center" vertical="center"/>
    </xf>
    <xf numFmtId="0" fontId="17" fillId="6" borderId="2" xfId="8" applyFont="1" applyFill="1" applyBorder="1" applyAlignment="1">
      <alignment horizontal="center"/>
    </xf>
    <xf numFmtId="0" fontId="50" fillId="0" borderId="0" xfId="7" applyFont="1"/>
    <xf numFmtId="9" fontId="83" fillId="0" borderId="0" xfId="7" applyNumberFormat="1" applyFont="1"/>
    <xf numFmtId="9" fontId="50" fillId="0" borderId="0" xfId="7" applyNumberFormat="1" applyFont="1"/>
    <xf numFmtId="0" fontId="12" fillId="0" borderId="0" xfId="1" applyFont="1" applyAlignment="1">
      <alignment horizontal="left" vertical="center" wrapText="1"/>
    </xf>
    <xf numFmtId="9" fontId="50" fillId="0" borderId="0" xfId="7" applyNumberFormat="1" applyFont="1" applyAlignment="1">
      <alignment horizontal="center"/>
    </xf>
    <xf numFmtId="9" fontId="84" fillId="21" borderId="38" xfId="3" applyFont="1" applyFill="1" applyBorder="1" applyAlignment="1">
      <alignment horizontal="center" vertical="center" wrapText="1"/>
    </xf>
    <xf numFmtId="9" fontId="84" fillId="21" borderId="48" xfId="3" applyFont="1" applyFill="1" applyBorder="1" applyAlignment="1">
      <alignment horizontal="center" vertical="center" wrapText="1"/>
    </xf>
    <xf numFmtId="0" fontId="83" fillId="0" borderId="0" xfId="7" applyFont="1"/>
    <xf numFmtId="0" fontId="50" fillId="0" borderId="0" xfId="7" applyFont="1" applyAlignment="1">
      <alignment horizontal="center" vertical="center" wrapText="1"/>
    </xf>
    <xf numFmtId="9" fontId="28" fillId="0" borderId="36" xfId="1" applyNumberFormat="1" applyFont="1" applyBorder="1" applyAlignment="1">
      <alignment horizontal="center" vertical="center"/>
    </xf>
    <xf numFmtId="165" fontId="27" fillId="6" borderId="0" xfId="5" applyNumberFormat="1" applyFont="1" applyFill="1" applyBorder="1" applyAlignment="1">
      <alignment horizontal="center" vertical="center"/>
    </xf>
    <xf numFmtId="165" fontId="45" fillId="6" borderId="0" xfId="5" applyNumberFormat="1" applyFont="1" applyFill="1" applyBorder="1" applyAlignment="1">
      <alignment horizontal="center" vertical="center"/>
    </xf>
    <xf numFmtId="0" fontId="37" fillId="0" borderId="13" xfId="8" applyFont="1" applyBorder="1" applyAlignment="1">
      <alignment horizontal="center"/>
    </xf>
    <xf numFmtId="0" fontId="37" fillId="0" borderId="1" xfId="8" applyFont="1" applyBorder="1" applyAlignment="1">
      <alignment horizontal="center"/>
    </xf>
    <xf numFmtId="0" fontId="37" fillId="0" borderId="11" xfId="8" applyFont="1" applyBorder="1" applyAlignment="1">
      <alignment horizontal="center"/>
    </xf>
    <xf numFmtId="0" fontId="37" fillId="0" borderId="26" xfId="8" applyFont="1" applyBorder="1" applyAlignment="1">
      <alignment horizontal="center"/>
    </xf>
    <xf numFmtId="0" fontId="37" fillId="0" borderId="27" xfId="8" applyFont="1" applyBorder="1" applyAlignment="1">
      <alignment horizontal="center"/>
    </xf>
    <xf numFmtId="0" fontId="24" fillId="0" borderId="0" xfId="0" applyFont="1" applyAlignment="1">
      <alignment horizontal="center" wrapText="1"/>
    </xf>
    <xf numFmtId="0" fontId="24" fillId="0" borderId="0" xfId="0" applyFont="1" applyAlignment="1">
      <alignment horizontal="right" wrapText="1"/>
    </xf>
    <xf numFmtId="0" fontId="24" fillId="0" borderId="0" xfId="0" applyFont="1" applyAlignment="1">
      <alignment horizontal="justify" wrapText="1"/>
    </xf>
    <xf numFmtId="0" fontId="24" fillId="0" borderId="0" xfId="0" applyFont="1" applyAlignment="1">
      <alignment wrapText="1"/>
    </xf>
    <xf numFmtId="9" fontId="24" fillId="0" borderId="0" xfId="0" applyNumberFormat="1" applyFont="1" applyAlignment="1">
      <alignment horizontal="center" vertical="center" wrapText="1"/>
    </xf>
    <xf numFmtId="0" fontId="50" fillId="0" borderId="0" xfId="7" applyFont="1" applyAlignment="1">
      <alignment horizontal="center" vertical="center"/>
    </xf>
    <xf numFmtId="9" fontId="21" fillId="0" borderId="2" xfId="0" applyNumberFormat="1" applyFont="1" applyBorder="1" applyAlignment="1">
      <alignment horizontal="center" vertical="center" wrapText="1"/>
    </xf>
    <xf numFmtId="9" fontId="10" fillId="0" borderId="2" xfId="0" applyNumberFormat="1" applyFont="1" applyBorder="1" applyAlignment="1">
      <alignment horizontal="center" vertical="center" wrapText="1"/>
    </xf>
    <xf numFmtId="0" fontId="38" fillId="25" borderId="0" xfId="10" applyFont="1" applyFill="1" applyAlignment="1">
      <alignment horizontal="center" vertical="center" wrapText="1"/>
    </xf>
    <xf numFmtId="169" fontId="14" fillId="0" borderId="0" xfId="10" applyNumberFormat="1" applyFont="1" applyAlignment="1">
      <alignment horizontal="center" vertical="center" wrapText="1"/>
    </xf>
    <xf numFmtId="9" fontId="59" fillId="0" borderId="0" xfId="10" applyNumberFormat="1" applyFont="1"/>
    <xf numFmtId="0" fontId="63" fillId="0" borderId="10" xfId="0" applyFont="1" applyBorder="1" applyAlignment="1">
      <alignment horizontal="center" vertical="center"/>
    </xf>
    <xf numFmtId="0" fontId="63" fillId="6" borderId="10" xfId="0" applyFont="1" applyFill="1" applyBorder="1" applyAlignment="1">
      <alignment horizontal="center" vertical="center"/>
    </xf>
    <xf numFmtId="0" fontId="10" fillId="6" borderId="6" xfId="0" applyFont="1" applyFill="1" applyBorder="1" applyAlignment="1">
      <alignment horizontal="justify" vertical="center"/>
    </xf>
    <xf numFmtId="0" fontId="19" fillId="35" borderId="31" xfId="0" applyFont="1" applyFill="1" applyBorder="1" applyAlignment="1">
      <alignment horizontal="justify" vertical="center"/>
    </xf>
    <xf numFmtId="0" fontId="63" fillId="35" borderId="32" xfId="0" applyFont="1" applyFill="1" applyBorder="1" applyAlignment="1">
      <alignment horizontal="center"/>
    </xf>
    <xf numFmtId="0" fontId="23" fillId="6" borderId="32" xfId="1" applyFont="1" applyFill="1" applyBorder="1" applyAlignment="1">
      <alignment horizontal="justify" vertical="center" wrapText="1"/>
    </xf>
    <xf numFmtId="0" fontId="23" fillId="3" borderId="2" xfId="1" applyFont="1" applyFill="1" applyBorder="1" applyAlignment="1">
      <alignment horizontal="justify" vertical="center" wrapText="1"/>
    </xf>
    <xf numFmtId="0" fontId="91" fillId="3" borderId="2" xfId="1" applyFont="1" applyFill="1" applyBorder="1" applyAlignment="1">
      <alignment horizontal="justify" vertical="center" wrapText="1"/>
    </xf>
    <xf numFmtId="9" fontId="10" fillId="38" borderId="2" xfId="1" applyNumberFormat="1" applyFill="1" applyBorder="1" applyAlignment="1">
      <alignment horizontal="center" vertical="center" wrapText="1"/>
    </xf>
    <xf numFmtId="0" fontId="10" fillId="0" borderId="40" xfId="1" applyBorder="1" applyAlignment="1">
      <alignment horizontal="center" vertical="center" wrapText="1"/>
    </xf>
    <xf numFmtId="0" fontId="10" fillId="0" borderId="28" xfId="1" applyBorder="1" applyAlignment="1">
      <alignment horizontal="center" vertical="center" wrapText="1"/>
    </xf>
    <xf numFmtId="9" fontId="10" fillId="38" borderId="19" xfId="1" applyNumberFormat="1" applyFill="1" applyBorder="1" applyAlignment="1">
      <alignment horizontal="center" vertical="center" wrapText="1"/>
    </xf>
    <xf numFmtId="9" fontId="10" fillId="38" borderId="32" xfId="1" applyNumberFormat="1" applyFill="1" applyBorder="1" applyAlignment="1">
      <alignment horizontal="center" vertical="center" wrapText="1"/>
    </xf>
    <xf numFmtId="9" fontId="72" fillId="41" borderId="32" xfId="1" applyNumberFormat="1" applyFont="1" applyFill="1" applyBorder="1" applyAlignment="1">
      <alignment horizontal="center" vertical="center" wrapText="1"/>
    </xf>
    <xf numFmtId="0" fontId="10" fillId="24" borderId="2" xfId="1" applyFill="1" applyBorder="1" applyAlignment="1">
      <alignment horizontal="center" vertical="center" wrapText="1"/>
    </xf>
    <xf numFmtId="0" fontId="13" fillId="3" borderId="19" xfId="1" applyFont="1" applyFill="1" applyBorder="1" applyAlignment="1">
      <alignment horizontal="justify" vertical="center" wrapText="1"/>
    </xf>
    <xf numFmtId="0" fontId="22" fillId="6" borderId="5" xfId="1" applyFont="1" applyFill="1" applyBorder="1" applyAlignment="1">
      <alignment horizontal="justify" vertical="center" wrapText="1"/>
    </xf>
    <xf numFmtId="9" fontId="26" fillId="6" borderId="5" xfId="1" applyNumberFormat="1" applyFont="1" applyFill="1" applyBorder="1" applyAlignment="1">
      <alignment horizontal="center" vertical="center" wrapText="1"/>
    </xf>
    <xf numFmtId="0" fontId="10" fillId="6" borderId="19" xfId="1" applyFill="1" applyBorder="1" applyAlignment="1">
      <alignment horizontal="justify" vertical="center" wrapText="1"/>
    </xf>
    <xf numFmtId="0" fontId="10" fillId="0" borderId="9" xfId="1" applyBorder="1" applyAlignment="1">
      <alignment vertical="center"/>
    </xf>
    <xf numFmtId="0" fontId="10" fillId="0" borderId="35" xfId="1" applyBorder="1" applyAlignment="1">
      <alignment horizontal="center" vertical="center" wrapText="1"/>
    </xf>
    <xf numFmtId="165" fontId="12" fillId="0" borderId="5" xfId="1" applyNumberFormat="1" applyFont="1" applyBorder="1" applyAlignment="1">
      <alignment horizontal="center" vertical="center" wrapText="1"/>
    </xf>
    <xf numFmtId="165" fontId="12" fillId="0" borderId="35" xfId="1" applyNumberFormat="1" applyFont="1" applyBorder="1" applyAlignment="1">
      <alignment horizontal="center" vertical="center" wrapText="1"/>
    </xf>
    <xf numFmtId="9" fontId="0" fillId="39" borderId="19" xfId="1" applyNumberFormat="1" applyFont="1" applyFill="1" applyBorder="1" applyAlignment="1">
      <alignment horizontal="center" vertical="center" wrapText="1"/>
    </xf>
    <xf numFmtId="9" fontId="0" fillId="39" borderId="2" xfId="1" applyNumberFormat="1" applyFont="1" applyFill="1" applyBorder="1" applyAlignment="1">
      <alignment horizontal="center" vertical="center" wrapText="1"/>
    </xf>
    <xf numFmtId="0" fontId="26" fillId="0" borderId="0" xfId="1" applyFont="1" applyAlignment="1">
      <alignment horizontal="justify" vertical="center" wrapText="1"/>
    </xf>
    <xf numFmtId="0" fontId="26" fillId="0" borderId="0" xfId="1" applyFont="1" applyAlignment="1">
      <alignment horizontal="justify" vertical="center"/>
    </xf>
    <xf numFmtId="0" fontId="10" fillId="6" borderId="2" xfId="1" applyFill="1" applyBorder="1" applyAlignment="1">
      <alignment horizontal="justify" vertical="center" wrapText="1"/>
    </xf>
    <xf numFmtId="0" fontId="10" fillId="6" borderId="32" xfId="1" applyFill="1" applyBorder="1" applyAlignment="1">
      <alignment horizontal="justify" vertical="center" wrapText="1"/>
    </xf>
    <xf numFmtId="9" fontId="10" fillId="7" borderId="2" xfId="1" applyNumberFormat="1" applyFill="1" applyBorder="1" applyAlignment="1">
      <alignment horizontal="center" vertical="center" wrapText="1"/>
    </xf>
    <xf numFmtId="0" fontId="8" fillId="0" borderId="0" xfId="25"/>
    <xf numFmtId="0" fontId="96" fillId="47" borderId="19" xfId="24" applyFont="1" applyBorder="1" applyAlignment="1">
      <alignment horizontal="center" vertical="center" wrapText="1"/>
    </xf>
    <xf numFmtId="0" fontId="96" fillId="47" borderId="22" xfId="24" applyFont="1" applyBorder="1" applyAlignment="1">
      <alignment horizontal="center" vertical="center" wrapText="1"/>
    </xf>
    <xf numFmtId="0" fontId="96" fillId="47" borderId="15" xfId="24" applyFont="1" applyBorder="1" applyAlignment="1">
      <alignment horizontal="center" vertical="center" wrapText="1"/>
    </xf>
    <xf numFmtId="0" fontId="96" fillId="46" borderId="18" xfId="23" applyFont="1" applyBorder="1" applyAlignment="1">
      <alignment vertical="center" wrapText="1"/>
    </xf>
    <xf numFmtId="0" fontId="96" fillId="46" borderId="19" xfId="23" applyFont="1" applyBorder="1" applyAlignment="1">
      <alignment vertical="center" wrapText="1"/>
    </xf>
    <xf numFmtId="0" fontId="96" fillId="47" borderId="47" xfId="24" applyFont="1" applyBorder="1" applyAlignment="1">
      <alignment horizontal="center" vertical="center" wrapText="1"/>
    </xf>
    <xf numFmtId="0" fontId="96" fillId="47" borderId="40" xfId="24" applyFont="1" applyBorder="1" applyAlignment="1">
      <alignment horizontal="center" vertical="center" wrapText="1"/>
    </xf>
    <xf numFmtId="0" fontId="8" fillId="0" borderId="56" xfId="25" applyBorder="1" applyAlignment="1">
      <alignment horizontal="center" vertical="center"/>
    </xf>
    <xf numFmtId="0" fontId="8" fillId="0" borderId="57" xfId="25" applyBorder="1" applyAlignment="1">
      <alignment horizontal="center" vertical="center"/>
    </xf>
    <xf numFmtId="0" fontId="8" fillId="0" borderId="58" xfId="25" applyBorder="1" applyAlignment="1">
      <alignment horizontal="center" vertical="center"/>
    </xf>
    <xf numFmtId="0" fontId="8" fillId="0" borderId="49" xfId="25" applyBorder="1" applyAlignment="1">
      <alignment horizontal="center" vertical="center"/>
    </xf>
    <xf numFmtId="0" fontId="8" fillId="0" borderId="75" xfId="25" applyBorder="1" applyAlignment="1">
      <alignment horizontal="center" vertical="center"/>
    </xf>
    <xf numFmtId="0" fontId="8" fillId="0" borderId="37" xfId="25" applyBorder="1" applyAlignment="1">
      <alignment horizontal="center" vertical="center"/>
    </xf>
    <xf numFmtId="0" fontId="8" fillId="0" borderId="43" xfId="25" applyBorder="1" applyAlignment="1">
      <alignment horizontal="center" vertical="center"/>
    </xf>
    <xf numFmtId="0" fontId="93" fillId="29" borderId="56" xfId="25" applyFont="1" applyFill="1" applyBorder="1"/>
    <xf numFmtId="0" fontId="93" fillId="0" borderId="0" xfId="25" applyFont="1" applyAlignment="1">
      <alignment vertical="top"/>
    </xf>
    <xf numFmtId="0" fontId="22" fillId="45" borderId="2" xfId="17" applyFont="1" applyFill="1" applyBorder="1" applyAlignment="1">
      <alignment horizontal="center" vertical="center" wrapText="1"/>
    </xf>
    <xf numFmtId="0" fontId="10" fillId="0" borderId="0" xfId="17" applyAlignment="1">
      <alignment vertical="center"/>
    </xf>
    <xf numFmtId="0" fontId="24" fillId="6" borderId="2" xfId="17" applyFont="1" applyFill="1" applyBorder="1" applyAlignment="1">
      <alignment horizontal="left" vertical="center" wrapText="1"/>
    </xf>
    <xf numFmtId="0" fontId="24" fillId="6" borderId="2" xfId="17" applyFont="1" applyFill="1" applyBorder="1" applyAlignment="1">
      <alignment horizontal="center" vertical="center" wrapText="1"/>
    </xf>
    <xf numFmtId="0" fontId="17" fillId="6" borderId="2" xfId="17" applyFont="1" applyFill="1" applyBorder="1" applyAlignment="1">
      <alignment horizontal="center" vertical="center" wrapText="1"/>
    </xf>
    <xf numFmtId="0" fontId="10" fillId="6" borderId="0" xfId="17" applyFill="1" applyAlignment="1">
      <alignment vertical="center"/>
    </xf>
    <xf numFmtId="0" fontId="17" fillId="6" borderId="2" xfId="17" applyFont="1" applyFill="1" applyBorder="1" applyAlignment="1">
      <alignment horizontal="left" vertical="center" wrapText="1"/>
    </xf>
    <xf numFmtId="0" fontId="13" fillId="6" borderId="2" xfId="1" applyFont="1" applyFill="1" applyBorder="1" applyAlignment="1">
      <alignment horizontal="justify" vertical="center" wrapText="1"/>
    </xf>
    <xf numFmtId="9" fontId="39" fillId="0" borderId="6" xfId="3" applyFont="1" applyBorder="1" applyAlignment="1">
      <alignment horizontal="center"/>
    </xf>
    <xf numFmtId="0" fontId="22" fillId="0" borderId="31" xfId="8" applyFont="1" applyBorder="1" applyAlignment="1">
      <alignment horizontal="center" vertical="center"/>
    </xf>
    <xf numFmtId="0" fontId="22" fillId="0" borderId="32" xfId="8" applyFont="1" applyBorder="1" applyAlignment="1">
      <alignment horizontal="center" vertical="center"/>
    </xf>
    <xf numFmtId="0" fontId="22" fillId="13" borderId="32" xfId="8" applyFont="1" applyFill="1" applyBorder="1" applyAlignment="1">
      <alignment horizontal="center" vertical="center"/>
    </xf>
    <xf numFmtId="10" fontId="39" fillId="13" borderId="10" xfId="3" applyNumberFormat="1" applyFont="1" applyFill="1" applyBorder="1" applyAlignment="1">
      <alignment horizontal="center"/>
    </xf>
    <xf numFmtId="0" fontId="19" fillId="0" borderId="31" xfId="8" applyFont="1" applyBorder="1" applyAlignment="1">
      <alignment horizontal="justify" vertical="center"/>
    </xf>
    <xf numFmtId="0" fontId="19" fillId="0" borderId="32" xfId="8" applyFont="1" applyBorder="1" applyAlignment="1">
      <alignment horizontal="justify" vertical="center"/>
    </xf>
    <xf numFmtId="0" fontId="19" fillId="0" borderId="35" xfId="8" applyFont="1" applyBorder="1" applyAlignment="1">
      <alignment horizontal="justify" vertical="center"/>
    </xf>
    <xf numFmtId="0" fontId="37" fillId="6" borderId="2" xfId="8" applyFont="1" applyFill="1" applyBorder="1" applyAlignment="1">
      <alignment horizontal="center" vertical="center"/>
    </xf>
    <xf numFmtId="0" fontId="37" fillId="6" borderId="2" xfId="8" applyFont="1" applyFill="1" applyBorder="1" applyAlignment="1">
      <alignment vertical="center"/>
    </xf>
    <xf numFmtId="0" fontId="37" fillId="6" borderId="2" xfId="8" applyFont="1" applyFill="1" applyBorder="1" applyAlignment="1">
      <alignment horizontal="justify" vertical="center"/>
    </xf>
    <xf numFmtId="0" fontId="97" fillId="13" borderId="2" xfId="0" applyFont="1" applyFill="1" applyBorder="1" applyAlignment="1">
      <alignment horizontal="justify" vertical="center"/>
    </xf>
    <xf numFmtId="0" fontId="44" fillId="6" borderId="0" xfId="8" applyFont="1" applyFill="1" applyAlignment="1">
      <alignment vertical="center"/>
    </xf>
    <xf numFmtId="0" fontId="10" fillId="6" borderId="0" xfId="8" applyFill="1"/>
    <xf numFmtId="167" fontId="10" fillId="6" borderId="0" xfId="8" applyNumberFormat="1" applyFill="1"/>
    <xf numFmtId="0" fontId="37" fillId="6" borderId="56" xfId="8" applyFont="1" applyFill="1" applyBorder="1" applyAlignment="1">
      <alignment horizontal="justify" vertical="center"/>
    </xf>
    <xf numFmtId="0" fontId="22" fillId="0" borderId="0" xfId="8" applyFont="1" applyAlignment="1">
      <alignment horizontal="center" vertical="center"/>
    </xf>
    <xf numFmtId="0" fontId="22" fillId="0" borderId="2" xfId="8" applyFont="1" applyBorder="1" applyAlignment="1">
      <alignment horizontal="center" vertical="center"/>
    </xf>
    <xf numFmtId="0" fontId="40" fillId="18" borderId="18" xfId="8" applyFont="1" applyFill="1" applyBorder="1" applyAlignment="1">
      <alignment horizontal="center"/>
    </xf>
    <xf numFmtId="0" fontId="40" fillId="18" borderId="19" xfId="8" applyFont="1" applyFill="1" applyBorder="1" applyAlignment="1">
      <alignment horizontal="center"/>
    </xf>
    <xf numFmtId="0" fontId="40" fillId="18" borderId="15" xfId="8" applyFont="1" applyFill="1" applyBorder="1" applyAlignment="1">
      <alignment horizontal="center"/>
    </xf>
    <xf numFmtId="0" fontId="22" fillId="0" borderId="6" xfId="8" applyFont="1" applyBorder="1" applyAlignment="1">
      <alignment horizontal="center" vertical="center"/>
    </xf>
    <xf numFmtId="0" fontId="102" fillId="0" borderId="2" xfId="0" applyFont="1" applyBorder="1" applyAlignment="1">
      <alignment horizontal="center" vertical="center"/>
    </xf>
    <xf numFmtId="0" fontId="102" fillId="13" borderId="2" xfId="0" applyFont="1" applyFill="1" applyBorder="1" applyAlignment="1">
      <alignment horizontal="center" vertical="center"/>
    </xf>
    <xf numFmtId="10" fontId="102" fillId="13" borderId="2" xfId="0" applyNumberFormat="1" applyFont="1" applyFill="1" applyBorder="1" applyAlignment="1">
      <alignment horizontal="center" vertical="center"/>
    </xf>
    <xf numFmtId="0" fontId="10" fillId="13" borderId="2" xfId="0" applyFont="1" applyFill="1" applyBorder="1" applyAlignment="1">
      <alignment horizontal="justify" vertical="center"/>
    </xf>
    <xf numFmtId="0" fontId="19" fillId="6" borderId="2" xfId="8" applyFont="1" applyFill="1" applyBorder="1" applyAlignment="1">
      <alignment horizontal="justify" vertical="center"/>
    </xf>
    <xf numFmtId="0" fontId="19" fillId="6" borderId="1" xfId="8" applyFont="1" applyFill="1" applyBorder="1" applyAlignment="1">
      <alignment horizontal="justify" vertical="center"/>
    </xf>
    <xf numFmtId="0" fontId="102" fillId="13" borderId="1" xfId="0" applyFont="1" applyFill="1" applyBorder="1" applyAlignment="1">
      <alignment horizontal="center" vertical="center"/>
    </xf>
    <xf numFmtId="10" fontId="102" fillId="13" borderId="1" xfId="0" applyNumberFormat="1" applyFont="1" applyFill="1" applyBorder="1" applyAlignment="1">
      <alignment horizontal="center" vertical="center"/>
    </xf>
    <xf numFmtId="0" fontId="10" fillId="13" borderId="1" xfId="0" applyFont="1" applyFill="1" applyBorder="1" applyAlignment="1">
      <alignment horizontal="justify" vertical="center"/>
    </xf>
    <xf numFmtId="2" fontId="102" fillId="0" borderId="57" xfId="0" applyNumberFormat="1" applyFont="1" applyBorder="1" applyAlignment="1">
      <alignment horizontal="center" vertical="center"/>
    </xf>
    <xf numFmtId="10" fontId="102" fillId="0" borderId="57" xfId="19" applyNumberFormat="1" applyFont="1" applyBorder="1" applyAlignment="1">
      <alignment horizontal="center" vertical="center"/>
    </xf>
    <xf numFmtId="0" fontId="10" fillId="0" borderId="43" xfId="0" applyFont="1" applyBorder="1" applyAlignment="1">
      <alignment horizontal="justify" vertical="center"/>
    </xf>
    <xf numFmtId="0" fontId="40" fillId="25" borderId="0" xfId="10" applyFont="1" applyFill="1" applyAlignment="1">
      <alignment horizontal="center" vertical="center" wrapText="1"/>
    </xf>
    <xf numFmtId="169" fontId="12" fillId="6" borderId="0" xfId="10" applyNumberFormat="1" applyFont="1" applyFill="1" applyAlignment="1">
      <alignment horizontal="center" vertical="center" wrapText="1"/>
    </xf>
    <xf numFmtId="169" fontId="12" fillId="17" borderId="2" xfId="10" applyNumberFormat="1" applyFont="1" applyFill="1" applyBorder="1" applyAlignment="1">
      <alignment horizontal="center" vertical="center" wrapText="1"/>
    </xf>
    <xf numFmtId="169" fontId="10" fillId="0" borderId="2" xfId="10" applyNumberFormat="1" applyFont="1" applyBorder="1" applyAlignment="1">
      <alignment horizontal="justify" vertical="center" wrapText="1"/>
    </xf>
    <xf numFmtId="0" fontId="20" fillId="6" borderId="0" xfId="1" applyFont="1" applyFill="1" applyAlignment="1">
      <alignment horizontal="center" vertical="center" wrapText="1"/>
    </xf>
    <xf numFmtId="9" fontId="14" fillId="6" borderId="0" xfId="1" applyNumberFormat="1" applyFont="1" applyFill="1" applyAlignment="1">
      <alignment vertical="center" wrapText="1"/>
    </xf>
    <xf numFmtId="9" fontId="14" fillId="6" borderId="0" xfId="1" applyNumberFormat="1" applyFont="1" applyFill="1" applyAlignment="1">
      <alignment horizontal="center" vertical="center" wrapText="1"/>
    </xf>
    <xf numFmtId="0" fontId="10" fillId="6" borderId="5" xfId="1" applyFill="1" applyBorder="1" applyAlignment="1">
      <alignment horizontal="justify" vertical="center" wrapText="1"/>
    </xf>
    <xf numFmtId="0" fontId="10" fillId="6" borderId="2" xfId="0" applyFont="1" applyFill="1" applyBorder="1" applyAlignment="1">
      <alignment horizontal="justify" vertical="center" wrapText="1"/>
    </xf>
    <xf numFmtId="0" fontId="10" fillId="6" borderId="2" xfId="1" applyFill="1" applyBorder="1" applyAlignment="1">
      <alignment horizontal="center" vertical="center" wrapText="1"/>
    </xf>
    <xf numFmtId="0" fontId="10" fillId="6" borderId="1" xfId="1" applyFill="1" applyBorder="1" applyAlignment="1">
      <alignment horizontal="justify" vertical="center" wrapText="1"/>
    </xf>
    <xf numFmtId="0" fontId="26" fillId="6" borderId="2" xfId="0" applyFont="1" applyFill="1" applyBorder="1" applyAlignment="1">
      <alignment vertical="center" wrapText="1"/>
    </xf>
    <xf numFmtId="0" fontId="10" fillId="6" borderId="0" xfId="1" applyFill="1" applyAlignment="1">
      <alignment horizontal="justify" vertical="center"/>
    </xf>
    <xf numFmtId="10" fontId="39" fillId="6" borderId="10" xfId="3" applyNumberFormat="1" applyFont="1" applyFill="1" applyBorder="1" applyAlignment="1">
      <alignment horizontal="center"/>
    </xf>
    <xf numFmtId="9" fontId="39" fillId="6" borderId="2" xfId="3" applyFont="1" applyFill="1" applyBorder="1" applyAlignment="1">
      <alignment horizontal="center"/>
    </xf>
    <xf numFmtId="9" fontId="39" fillId="6" borderId="10" xfId="3" applyFont="1" applyFill="1" applyBorder="1" applyAlignment="1">
      <alignment horizontal="center"/>
    </xf>
    <xf numFmtId="0" fontId="22" fillId="6" borderId="2" xfId="8" applyFont="1" applyFill="1" applyBorder="1" applyAlignment="1">
      <alignment horizontal="center" vertical="center"/>
    </xf>
    <xf numFmtId="0" fontId="22" fillId="6" borderId="10" xfId="8" applyFont="1" applyFill="1" applyBorder="1" applyAlignment="1">
      <alignment horizontal="center" vertical="center"/>
    </xf>
    <xf numFmtId="0" fontId="22" fillId="6" borderId="32" xfId="8" applyFont="1" applyFill="1" applyBorder="1" applyAlignment="1">
      <alignment horizontal="center" vertical="center"/>
    </xf>
    <xf numFmtId="0" fontId="22" fillId="6" borderId="35" xfId="8" applyFont="1" applyFill="1" applyBorder="1" applyAlignment="1">
      <alignment horizontal="center" vertical="center"/>
    </xf>
    <xf numFmtId="0" fontId="22" fillId="0" borderId="2" xfId="8" applyFont="1" applyBorder="1" applyAlignment="1">
      <alignment horizontal="center"/>
    </xf>
    <xf numFmtId="0" fontId="22" fillId="6" borderId="2" xfId="8" applyFont="1" applyFill="1" applyBorder="1" applyAlignment="1">
      <alignment horizontal="center"/>
    </xf>
    <xf numFmtId="0" fontId="10" fillId="0" borderId="6" xfId="27" applyFont="1" applyBorder="1" applyAlignment="1">
      <alignment vertical="center"/>
    </xf>
    <xf numFmtId="0" fontId="10" fillId="0" borderId="31" xfId="27" applyFont="1" applyBorder="1" applyAlignment="1">
      <alignment vertical="center"/>
    </xf>
    <xf numFmtId="0" fontId="10" fillId="0" borderId="32" xfId="27" applyFont="1" applyBorder="1" applyAlignment="1">
      <alignment horizontal="center" vertical="center"/>
    </xf>
    <xf numFmtId="0" fontId="10" fillId="0" borderId="6" xfId="27" applyFont="1" applyBorder="1" applyAlignment="1">
      <alignment horizontal="center" vertical="center"/>
    </xf>
    <xf numFmtId="0" fontId="12" fillId="6" borderId="79" xfId="0" applyFont="1" applyFill="1" applyBorder="1" applyAlignment="1">
      <alignment horizontal="justify" vertical="center"/>
    </xf>
    <xf numFmtId="0" fontId="12" fillId="6" borderId="80" xfId="0" applyFont="1" applyFill="1" applyBorder="1" applyAlignment="1">
      <alignment horizontal="justify" vertical="center"/>
    </xf>
    <xf numFmtId="0" fontId="10" fillId="0" borderId="79" xfId="27" applyFont="1" applyBorder="1" applyAlignment="1">
      <alignment horizontal="center" vertical="center"/>
    </xf>
    <xf numFmtId="9" fontId="103" fillId="21" borderId="79" xfId="3" applyFont="1" applyFill="1" applyBorder="1" applyAlignment="1">
      <alignment horizontal="center" vertical="center" wrapText="1"/>
    </xf>
    <xf numFmtId="165" fontId="12" fillId="6" borderId="79" xfId="3" applyNumberFormat="1" applyFont="1" applyFill="1" applyBorder="1" applyAlignment="1">
      <alignment horizontal="center" vertical="center" wrapText="1"/>
    </xf>
    <xf numFmtId="165" fontId="92" fillId="0" borderId="79" xfId="1" applyNumberFormat="1" applyFont="1" applyBorder="1"/>
    <xf numFmtId="165" fontId="85" fillId="6" borderId="79" xfId="3" applyNumberFormat="1" applyFont="1" applyFill="1" applyBorder="1" applyAlignment="1">
      <alignment horizontal="center" vertical="center" wrapText="1"/>
    </xf>
    <xf numFmtId="9" fontId="85" fillId="6" borderId="79" xfId="3" applyFont="1" applyFill="1" applyBorder="1" applyAlignment="1">
      <alignment horizontal="center" vertical="center" wrapText="1"/>
    </xf>
    <xf numFmtId="0" fontId="85" fillId="6" borderId="79" xfId="1" applyFont="1" applyFill="1" applyBorder="1" applyAlignment="1">
      <alignment horizontal="center" vertical="center"/>
    </xf>
    <xf numFmtId="10" fontId="85" fillId="6" borderId="79" xfId="3" applyNumberFormat="1" applyFont="1" applyFill="1" applyBorder="1" applyAlignment="1">
      <alignment horizontal="center" vertical="center" wrapText="1"/>
    </xf>
    <xf numFmtId="167" fontId="85" fillId="6" borderId="79" xfId="15" applyNumberFormat="1" applyFont="1" applyFill="1" applyBorder="1" applyAlignment="1">
      <alignment horizontal="center" vertical="center" wrapText="1"/>
    </xf>
    <xf numFmtId="9" fontId="85" fillId="6" borderId="79" xfId="3" applyFont="1" applyFill="1" applyBorder="1" applyAlignment="1">
      <alignment horizontal="center" vertical="center"/>
    </xf>
    <xf numFmtId="0" fontId="55" fillId="13" borderId="79" xfId="1" applyFont="1" applyFill="1" applyBorder="1" applyAlignment="1">
      <alignment horizontal="center"/>
    </xf>
    <xf numFmtId="9" fontId="101" fillId="30" borderId="79" xfId="0" applyNumberFormat="1" applyFont="1" applyFill="1" applyBorder="1" applyAlignment="1">
      <alignment horizontal="center" vertical="center" wrapText="1" readingOrder="1"/>
    </xf>
    <xf numFmtId="9" fontId="87" fillId="0" borderId="79" xfId="0" applyNumberFormat="1" applyFont="1" applyBorder="1" applyAlignment="1">
      <alignment horizontal="center" vertical="center" wrapText="1" readingOrder="1"/>
    </xf>
    <xf numFmtId="9" fontId="87" fillId="6" borderId="79" xfId="0" applyNumberFormat="1" applyFont="1" applyFill="1" applyBorder="1" applyAlignment="1">
      <alignment horizontal="center" vertical="center" wrapText="1" readingOrder="1"/>
    </xf>
    <xf numFmtId="9" fontId="86" fillId="30" borderId="79" xfId="0" applyNumberFormat="1" applyFont="1" applyFill="1" applyBorder="1" applyAlignment="1">
      <alignment horizontal="center" vertical="center" wrapText="1" readingOrder="1"/>
    </xf>
    <xf numFmtId="9" fontId="87" fillId="30" borderId="79" xfId="0" applyNumberFormat="1" applyFont="1" applyFill="1" applyBorder="1" applyAlignment="1">
      <alignment horizontal="center" vertical="center" wrapText="1" readingOrder="1"/>
    </xf>
    <xf numFmtId="9" fontId="87" fillId="13" borderId="79" xfId="0" applyNumberFormat="1" applyFont="1" applyFill="1" applyBorder="1" applyAlignment="1">
      <alignment horizontal="center" vertical="center" wrapText="1" readingOrder="1"/>
    </xf>
    <xf numFmtId="0" fontId="72" fillId="0" borderId="79" xfId="1" applyFont="1" applyBorder="1" applyAlignment="1">
      <alignment horizontal="center" vertical="center"/>
    </xf>
    <xf numFmtId="167" fontId="24" fillId="6" borderId="0" xfId="33" applyNumberFormat="1" applyFont="1" applyFill="1" applyBorder="1" applyAlignment="1">
      <alignment horizontal="justify" vertical="center" wrapText="1"/>
    </xf>
    <xf numFmtId="9" fontId="24" fillId="6" borderId="0" xfId="32" applyFont="1" applyFill="1" applyBorder="1" applyAlignment="1">
      <alignment vertical="center" wrapText="1"/>
    </xf>
    <xf numFmtId="9" fontId="84" fillId="21" borderId="79" xfId="3" applyFont="1" applyFill="1" applyBorder="1" applyAlignment="1">
      <alignment horizontal="center" vertical="center" wrapText="1"/>
    </xf>
    <xf numFmtId="9" fontId="84" fillId="37" borderId="79" xfId="3" applyFont="1" applyFill="1" applyBorder="1" applyAlignment="1">
      <alignment horizontal="center" vertical="center" wrapText="1"/>
    </xf>
    <xf numFmtId="0" fontId="10" fillId="0" borderId="90" xfId="1" applyBorder="1" applyAlignment="1">
      <alignment horizontal="center" vertical="center" wrapText="1"/>
    </xf>
    <xf numFmtId="0" fontId="10" fillId="0" borderId="84" xfId="1" applyBorder="1" applyAlignment="1">
      <alignment horizontal="center" vertical="center" wrapText="1"/>
    </xf>
    <xf numFmtId="0" fontId="10" fillId="0" borderId="79" xfId="1" applyBorder="1" applyAlignment="1">
      <alignment horizontal="center" vertical="center" wrapText="1"/>
    </xf>
    <xf numFmtId="0" fontId="10" fillId="0" borderId="79" xfId="1" applyBorder="1" applyAlignment="1">
      <alignment vertical="center"/>
    </xf>
    <xf numFmtId="166" fontId="10" fillId="0" borderId="79" xfId="18" applyNumberFormat="1" applyFont="1" applyBorder="1" applyAlignment="1">
      <alignment horizontal="center" vertical="center" wrapText="1"/>
    </xf>
    <xf numFmtId="0" fontId="10" fillId="0" borderId="85" xfId="27" applyFont="1" applyBorder="1" applyAlignment="1">
      <alignment vertical="center"/>
    </xf>
    <xf numFmtId="1" fontId="22" fillId="13" borderId="79" xfId="8" applyNumberFormat="1" applyFont="1" applyFill="1" applyBorder="1" applyAlignment="1">
      <alignment horizontal="center" vertical="center"/>
    </xf>
    <xf numFmtId="0" fontId="0" fillId="0" borderId="0" xfId="0" applyAlignment="1">
      <alignment vertical="center"/>
    </xf>
    <xf numFmtId="0" fontId="12" fillId="0" borderId="89" xfId="1" applyFont="1" applyBorder="1"/>
    <xf numFmtId="0" fontId="12" fillId="0" borderId="79" xfId="1" applyFont="1" applyBorder="1" applyAlignment="1">
      <alignment horizontal="center"/>
    </xf>
    <xf numFmtId="0" fontId="12" fillId="0" borderId="79" xfId="1" applyFont="1" applyBorder="1"/>
    <xf numFmtId="0" fontId="10" fillId="0" borderId="89" xfId="1" applyBorder="1"/>
    <xf numFmtId="0" fontId="20" fillId="0" borderId="79" xfId="1" applyFont="1" applyBorder="1" applyAlignment="1">
      <alignment horizontal="justify" vertical="center"/>
    </xf>
    <xf numFmtId="0" fontId="20" fillId="6" borderId="79" xfId="1" applyFont="1" applyFill="1" applyBorder="1" applyAlignment="1">
      <alignment horizontal="center" vertical="center"/>
    </xf>
    <xf numFmtId="9" fontId="28" fillId="0" borderId="79" xfId="1" applyNumberFormat="1" applyFont="1" applyBorder="1" applyAlignment="1">
      <alignment horizontal="center" vertical="center"/>
    </xf>
    <xf numFmtId="165" fontId="27" fillId="6" borderId="79" xfId="5" applyNumberFormat="1" applyFont="1" applyFill="1" applyBorder="1" applyAlignment="1">
      <alignment horizontal="center" vertical="center"/>
    </xf>
    <xf numFmtId="165" fontId="45" fillId="6" borderId="79" xfId="5" applyNumberFormat="1" applyFont="1" applyFill="1" applyBorder="1" applyAlignment="1">
      <alignment horizontal="center" vertical="center"/>
    </xf>
    <xf numFmtId="9" fontId="81" fillId="30" borderId="79" xfId="0" applyNumberFormat="1" applyFont="1" applyFill="1" applyBorder="1" applyAlignment="1">
      <alignment horizontal="center" vertical="center"/>
    </xf>
    <xf numFmtId="10" fontId="81" fillId="30" borderId="79" xfId="0" applyNumberFormat="1" applyFont="1" applyFill="1" applyBorder="1" applyAlignment="1">
      <alignment horizontal="center" vertical="center"/>
    </xf>
    <xf numFmtId="0" fontId="26" fillId="12" borderId="80" xfId="1" applyFont="1" applyFill="1" applyBorder="1" applyAlignment="1">
      <alignment vertical="center"/>
    </xf>
    <xf numFmtId="0" fontId="19" fillId="12" borderId="80" xfId="1" applyFont="1" applyFill="1" applyBorder="1" applyAlignment="1">
      <alignment horizontal="center" vertical="center"/>
    </xf>
    <xf numFmtId="9" fontId="16" fillId="0" borderId="79" xfId="1" applyNumberFormat="1" applyFont="1" applyBorder="1" applyAlignment="1">
      <alignment horizontal="center" vertical="center"/>
    </xf>
    <xf numFmtId="165" fontId="16" fillId="0" borderId="79" xfId="1" applyNumberFormat="1" applyFont="1" applyBorder="1" applyAlignment="1">
      <alignment horizontal="center" vertical="center"/>
    </xf>
    <xf numFmtId="10" fontId="16" fillId="0" borderId="79" xfId="1" applyNumberFormat="1" applyFont="1" applyBorder="1" applyAlignment="1">
      <alignment horizontal="center" vertical="center"/>
    </xf>
    <xf numFmtId="165" fontId="16" fillId="3" borderId="79" xfId="20" applyNumberFormat="1" applyFont="1" applyFill="1" applyBorder="1" applyAlignment="1">
      <alignment horizontal="center" vertical="center"/>
    </xf>
    <xf numFmtId="165" fontId="16" fillId="6" borderId="79" xfId="20" applyNumberFormat="1" applyFont="1" applyFill="1" applyBorder="1" applyAlignment="1">
      <alignment horizontal="center" vertical="center"/>
    </xf>
    <xf numFmtId="165" fontId="14" fillId="0" borderId="79" xfId="1" applyNumberFormat="1" applyFont="1" applyBorder="1" applyAlignment="1">
      <alignment horizontal="center"/>
    </xf>
    <xf numFmtId="10" fontId="14" fillId="0" borderId="79" xfId="1" applyNumberFormat="1" applyFont="1" applyBorder="1" applyAlignment="1">
      <alignment horizontal="center"/>
    </xf>
    <xf numFmtId="10" fontId="14" fillId="6" borderId="79" xfId="1" applyNumberFormat="1" applyFont="1" applyFill="1" applyBorder="1" applyAlignment="1">
      <alignment horizontal="center"/>
    </xf>
    <xf numFmtId="0" fontId="12" fillId="10" borderId="79" xfId="1" applyFont="1" applyFill="1" applyBorder="1" applyAlignment="1">
      <alignment horizontal="center" vertical="center" wrapText="1"/>
    </xf>
    <xf numFmtId="0" fontId="20" fillId="10" borderId="79" xfId="1" applyFont="1" applyFill="1" applyBorder="1" applyAlignment="1">
      <alignment horizontal="center" vertical="center" wrapText="1"/>
    </xf>
    <xf numFmtId="169" fontId="10" fillId="0" borderId="79" xfId="1" applyNumberFormat="1" applyBorder="1" applyAlignment="1">
      <alignment horizontal="center" vertical="center" wrapText="1"/>
    </xf>
    <xf numFmtId="169" fontId="21" fillId="0" borderId="79" xfId="1" applyNumberFormat="1" applyFont="1" applyBorder="1" applyAlignment="1">
      <alignment horizontal="justify" vertical="center" wrapText="1"/>
    </xf>
    <xf numFmtId="9" fontId="21" fillId="0" borderId="79" xfId="1" applyNumberFormat="1" applyFont="1" applyBorder="1" applyAlignment="1">
      <alignment horizontal="center" vertical="center" wrapText="1"/>
    </xf>
    <xf numFmtId="9" fontId="10" fillId="0" borderId="79" xfId="5" applyNumberFormat="1" applyFont="1" applyBorder="1" applyAlignment="1">
      <alignment horizontal="center" vertical="center"/>
    </xf>
    <xf numFmtId="10" fontId="10" fillId="0" borderId="79" xfId="5" applyNumberFormat="1" applyFont="1" applyBorder="1" applyAlignment="1">
      <alignment horizontal="center" vertical="center"/>
    </xf>
    <xf numFmtId="9" fontId="10" fillId="6" borderId="79" xfId="5" applyNumberFormat="1" applyFont="1" applyFill="1" applyBorder="1" applyAlignment="1">
      <alignment horizontal="center" vertical="center"/>
    </xf>
    <xf numFmtId="10" fontId="10" fillId="6" borderId="79" xfId="5" applyNumberFormat="1" applyFont="1" applyFill="1" applyBorder="1" applyAlignment="1">
      <alignment horizontal="center" vertical="center"/>
    </xf>
    <xf numFmtId="9" fontId="10" fillId="35" borderId="79" xfId="5" applyNumberFormat="1" applyFont="1" applyFill="1" applyBorder="1" applyAlignment="1">
      <alignment horizontal="center" vertical="center"/>
    </xf>
    <xf numFmtId="10" fontId="10" fillId="35" borderId="79" xfId="5" applyNumberFormat="1" applyFont="1" applyFill="1" applyBorder="1" applyAlignment="1">
      <alignment horizontal="center" vertical="center"/>
    </xf>
    <xf numFmtId="169" fontId="14" fillId="0" borderId="87" xfId="1" applyNumberFormat="1" applyFont="1" applyBorder="1" applyAlignment="1">
      <alignment vertical="center" wrapText="1"/>
    </xf>
    <xf numFmtId="9" fontId="14" fillId="0" borderId="84" xfId="1" applyNumberFormat="1" applyFont="1" applyBorder="1" applyAlignment="1">
      <alignment horizontal="center" vertical="center" wrapText="1"/>
    </xf>
    <xf numFmtId="10" fontId="14" fillId="0" borderId="79" xfId="20" applyNumberFormat="1" applyFont="1" applyBorder="1" applyAlignment="1">
      <alignment horizontal="center"/>
    </xf>
    <xf numFmtId="9" fontId="59" fillId="31" borderId="79" xfId="1" applyNumberFormat="1" applyFont="1" applyFill="1" applyBorder="1" applyAlignment="1">
      <alignment horizontal="center"/>
    </xf>
    <xf numFmtId="10" fontId="14" fillId="31" borderId="79" xfId="1" applyNumberFormat="1" applyFont="1" applyFill="1" applyBorder="1" applyAlignment="1">
      <alignment horizontal="center"/>
    </xf>
    <xf numFmtId="0" fontId="16" fillId="3" borderId="79" xfId="1" applyFont="1" applyFill="1" applyBorder="1" applyAlignment="1">
      <alignment horizontal="justify" vertical="center"/>
    </xf>
    <xf numFmtId="9" fontId="16" fillId="0" borderId="79" xfId="1" applyNumberFormat="1" applyFont="1" applyBorder="1" applyAlignment="1">
      <alignment horizontal="center" vertical="center" wrapText="1"/>
    </xf>
    <xf numFmtId="169" fontId="16" fillId="0" borderId="79" xfId="17" applyNumberFormat="1" applyFont="1" applyBorder="1" applyAlignment="1">
      <alignment horizontal="justify" vertical="center" wrapText="1"/>
    </xf>
    <xf numFmtId="169" fontId="24" fillId="0" borderId="79" xfId="1" applyNumberFormat="1" applyFont="1" applyBorder="1" applyAlignment="1">
      <alignment horizontal="center" vertical="center" wrapText="1"/>
    </xf>
    <xf numFmtId="169" fontId="14" fillId="0" borderId="91" xfId="1" applyNumberFormat="1" applyFont="1" applyBorder="1" applyAlignment="1">
      <alignment vertical="center" wrapText="1"/>
    </xf>
    <xf numFmtId="9" fontId="14" fillId="0" borderId="79" xfId="1" applyNumberFormat="1" applyFont="1" applyBorder="1" applyAlignment="1">
      <alignment horizontal="center" vertical="center" wrapText="1"/>
    </xf>
    <xf numFmtId="10" fontId="16" fillId="3" borderId="79" xfId="1" applyNumberFormat="1" applyFont="1" applyFill="1" applyBorder="1" applyAlignment="1">
      <alignment horizontal="center"/>
    </xf>
    <xf numFmtId="9" fontId="16" fillId="3" borderId="79" xfId="1" applyNumberFormat="1" applyFont="1" applyFill="1" applyBorder="1" applyAlignment="1">
      <alignment horizontal="center"/>
    </xf>
    <xf numFmtId="0" fontId="10" fillId="6" borderId="79" xfId="1" applyFill="1" applyBorder="1" applyAlignment="1">
      <alignment horizontal="justify" vertical="center" wrapText="1"/>
    </xf>
    <xf numFmtId="0" fontId="10" fillId="0" borderId="86" xfId="1" applyBorder="1" applyAlignment="1">
      <alignment horizontal="center" vertical="center" wrapText="1"/>
    </xf>
    <xf numFmtId="0" fontId="10" fillId="0" borderId="83" xfId="1" applyBorder="1" applyAlignment="1">
      <alignment horizontal="center" vertical="center" wrapText="1"/>
    </xf>
    <xf numFmtId="0" fontId="10" fillId="0" borderId="83" xfId="1" applyBorder="1" applyAlignment="1">
      <alignment vertical="center"/>
    </xf>
    <xf numFmtId="166" fontId="10" fillId="0" borderId="83" xfId="18" applyNumberFormat="1" applyFont="1" applyBorder="1" applyAlignment="1">
      <alignment horizontal="center" vertical="center" wrapText="1"/>
    </xf>
    <xf numFmtId="17" fontId="110" fillId="51" borderId="73" xfId="0" applyNumberFormat="1" applyFont="1" applyFill="1" applyBorder="1" applyAlignment="1">
      <alignment horizontal="center" wrapText="1" readingOrder="1"/>
    </xf>
    <xf numFmtId="0" fontId="111" fillId="51" borderId="73" xfId="0" applyFont="1" applyFill="1" applyBorder="1" applyAlignment="1">
      <alignment horizontal="center" vertical="center" wrapText="1" readingOrder="1"/>
    </xf>
    <xf numFmtId="0" fontId="112" fillId="51" borderId="73" xfId="0" applyFont="1" applyFill="1" applyBorder="1" applyAlignment="1">
      <alignment horizontal="center" vertical="center" wrapText="1" readingOrder="1"/>
    </xf>
    <xf numFmtId="0" fontId="58" fillId="51" borderId="73" xfId="0" applyFont="1" applyFill="1" applyBorder="1" applyAlignment="1">
      <alignment horizontal="center" vertical="center" wrapText="1"/>
    </xf>
    <xf numFmtId="0" fontId="109" fillId="51" borderId="93" xfId="0" applyFont="1" applyFill="1" applyBorder="1" applyAlignment="1">
      <alignment horizontal="center" vertical="center" wrapText="1" readingOrder="1"/>
    </xf>
    <xf numFmtId="0" fontId="99" fillId="35" borderId="80" xfId="25" applyFont="1" applyFill="1" applyBorder="1" applyAlignment="1">
      <alignment horizontal="center" vertical="center" wrapText="1"/>
    </xf>
    <xf numFmtId="0" fontId="86" fillId="35" borderId="80" xfId="25" applyFont="1" applyFill="1" applyBorder="1" applyAlignment="1">
      <alignment horizontal="center" vertical="center"/>
    </xf>
    <xf numFmtId="0" fontId="88" fillId="0" borderId="79" xfId="25" applyFont="1" applyBorder="1" applyAlignment="1">
      <alignment horizontal="left" vertical="center" wrapText="1"/>
    </xf>
    <xf numFmtId="0" fontId="100" fillId="6" borderId="79" xfId="25" applyFont="1" applyFill="1" applyBorder="1" applyAlignment="1">
      <alignment horizontal="center" vertical="center" wrapText="1"/>
    </xf>
    <xf numFmtId="0" fontId="88" fillId="32" borderId="79" xfId="25" applyFont="1" applyFill="1" applyBorder="1" applyAlignment="1">
      <alignment horizontal="center" vertical="center"/>
    </xf>
    <xf numFmtId="0" fontId="88" fillId="0" borderId="83" xfId="25" applyFont="1" applyBorder="1" applyAlignment="1">
      <alignment horizontal="left" vertical="center" wrapText="1"/>
    </xf>
    <xf numFmtId="0" fontId="86" fillId="32" borderId="56" xfId="25" applyFont="1" applyFill="1" applyBorder="1" applyAlignment="1">
      <alignment horizontal="left" vertical="center"/>
    </xf>
    <xf numFmtId="0" fontId="99" fillId="32" borderId="57" xfId="25" applyFont="1" applyFill="1" applyBorder="1" applyAlignment="1">
      <alignment horizontal="center" vertical="center"/>
    </xf>
    <xf numFmtId="0" fontId="5" fillId="0" borderId="0" xfId="25" applyFont="1" applyAlignment="1">
      <alignment horizontal="left" wrapText="1"/>
    </xf>
    <xf numFmtId="0" fontId="99" fillId="35" borderId="85" xfId="25" applyFont="1" applyFill="1" applyBorder="1" applyAlignment="1">
      <alignment horizontal="center" vertical="center" wrapText="1"/>
    </xf>
    <xf numFmtId="0" fontId="86" fillId="35" borderId="90" xfId="25" applyFont="1" applyFill="1" applyBorder="1" applyAlignment="1">
      <alignment horizontal="center" vertical="center"/>
    </xf>
    <xf numFmtId="0" fontId="87" fillId="0" borderId="6" xfId="25" applyFont="1" applyBorder="1" applyAlignment="1">
      <alignment horizontal="left" vertical="center" wrapText="1"/>
    </xf>
    <xf numFmtId="0" fontId="87" fillId="0" borderId="82" xfId="25" applyFont="1" applyBorder="1" applyAlignment="1">
      <alignment horizontal="left" vertical="center" wrapText="1"/>
    </xf>
    <xf numFmtId="0" fontId="117" fillId="6" borderId="79" xfId="0" applyFont="1" applyFill="1" applyBorder="1" applyAlignment="1">
      <alignment horizontal="center" vertical="center" wrapText="1"/>
    </xf>
    <xf numFmtId="168" fontId="10" fillId="0" borderId="90" xfId="1" applyNumberFormat="1" applyBorder="1" applyAlignment="1">
      <alignment horizontal="center" vertical="center" wrapText="1"/>
    </xf>
    <xf numFmtId="0" fontId="50" fillId="0" borderId="0" xfId="7" applyFont="1" applyAlignment="1">
      <alignment horizontal="justify" vertical="center"/>
    </xf>
    <xf numFmtId="9" fontId="17" fillId="6" borderId="79" xfId="3" applyFont="1" applyFill="1" applyBorder="1" applyAlignment="1">
      <alignment horizontal="center" vertical="center" wrapText="1"/>
    </xf>
    <xf numFmtId="9" fontId="44" fillId="37" borderId="79" xfId="3" applyFont="1" applyFill="1" applyBorder="1" applyAlignment="1">
      <alignment horizontal="center" vertical="center" wrapText="1"/>
    </xf>
    <xf numFmtId="10" fontId="44" fillId="50" borderId="79" xfId="3" applyNumberFormat="1" applyFont="1" applyFill="1" applyBorder="1" applyAlignment="1">
      <alignment horizontal="center" vertical="center" wrapText="1"/>
    </xf>
    <xf numFmtId="0" fontId="16" fillId="6" borderId="79" xfId="1" applyFont="1" applyFill="1" applyBorder="1" applyAlignment="1">
      <alignment horizontal="justify" vertical="center" wrapText="1"/>
    </xf>
    <xf numFmtId="0" fontId="118" fillId="0" borderId="18" xfId="1" applyFont="1" applyBorder="1" applyAlignment="1">
      <alignment horizontal="justify" vertical="center" wrapText="1"/>
    </xf>
    <xf numFmtId="0" fontId="118" fillId="0" borderId="19" xfId="1" applyFont="1" applyBorder="1" applyAlignment="1">
      <alignment horizontal="justify" vertical="center" wrapText="1"/>
    </xf>
    <xf numFmtId="0" fontId="118" fillId="0" borderId="19" xfId="1" applyFont="1" applyBorder="1" applyAlignment="1">
      <alignment horizontal="center" vertical="center" wrapText="1"/>
    </xf>
    <xf numFmtId="0" fontId="118" fillId="0" borderId="15" xfId="1" applyFont="1" applyBorder="1" applyAlignment="1">
      <alignment horizontal="center" vertical="center" wrapText="1"/>
    </xf>
    <xf numFmtId="10" fontId="119" fillId="0" borderId="31" xfId="1" applyNumberFormat="1" applyFont="1" applyBorder="1" applyAlignment="1">
      <alignment horizontal="center" vertical="center" wrapText="1"/>
    </xf>
    <xf numFmtId="10" fontId="119" fillId="0" borderId="32" xfId="1" applyNumberFormat="1" applyFont="1" applyBorder="1" applyAlignment="1">
      <alignment horizontal="center" vertical="center" wrapText="1"/>
    </xf>
    <xf numFmtId="10" fontId="119" fillId="6" borderId="32" xfId="3" applyNumberFormat="1" applyFont="1" applyFill="1" applyBorder="1" applyAlignment="1">
      <alignment horizontal="center" vertical="center" wrapText="1"/>
    </xf>
    <xf numFmtId="10" fontId="10" fillId="6" borderId="32" xfId="1" applyNumberFormat="1" applyFill="1" applyBorder="1" applyAlignment="1">
      <alignment horizontal="center" vertical="center"/>
    </xf>
    <xf numFmtId="10" fontId="10" fillId="6" borderId="35" xfId="1" applyNumberFormat="1" applyFill="1" applyBorder="1" applyAlignment="1">
      <alignment horizontal="center" vertical="center"/>
    </xf>
    <xf numFmtId="10" fontId="119" fillId="0" borderId="0" xfId="1" applyNumberFormat="1" applyFont="1" applyAlignment="1">
      <alignment horizontal="center" vertical="center" wrapText="1"/>
    </xf>
    <xf numFmtId="10" fontId="119" fillId="0" borderId="49" xfId="1" applyNumberFormat="1" applyFont="1" applyBorder="1" applyAlignment="1">
      <alignment horizontal="center" vertical="center" wrapText="1"/>
    </xf>
    <xf numFmtId="10" fontId="119" fillId="6" borderId="49" xfId="3" applyNumberFormat="1" applyFont="1" applyFill="1" applyBorder="1" applyAlignment="1">
      <alignment horizontal="center" vertical="center" wrapText="1"/>
    </xf>
    <xf numFmtId="10" fontId="119" fillId="6" borderId="0" xfId="3" applyNumberFormat="1" applyFont="1" applyFill="1" applyBorder="1" applyAlignment="1">
      <alignment horizontal="center" vertical="center" wrapText="1"/>
    </xf>
    <xf numFmtId="10" fontId="10" fillId="6" borderId="0" xfId="1" applyNumberFormat="1" applyFill="1" applyAlignment="1">
      <alignment horizontal="center" vertical="center"/>
    </xf>
    <xf numFmtId="9" fontId="17" fillId="56" borderId="80" xfId="3" applyFont="1" applyFill="1" applyBorder="1" applyAlignment="1"/>
    <xf numFmtId="10" fontId="16" fillId="0" borderId="79" xfId="5" applyNumberFormat="1" applyFont="1" applyBorder="1" applyAlignment="1">
      <alignment horizontal="center" vertical="center"/>
    </xf>
    <xf numFmtId="10" fontId="14" fillId="0" borderId="0" xfId="1" applyNumberFormat="1" applyFont="1" applyAlignment="1">
      <alignment horizontal="center" vertical="center" wrapText="1"/>
    </xf>
    <xf numFmtId="165" fontId="45" fillId="56" borderId="79" xfId="5" applyNumberFormat="1" applyFont="1" applyFill="1" applyBorder="1" applyAlignment="1">
      <alignment horizontal="center" vertical="center"/>
    </xf>
    <xf numFmtId="10" fontId="81" fillId="56" borderId="79" xfId="0" applyNumberFormat="1" applyFont="1" applyFill="1" applyBorder="1" applyAlignment="1">
      <alignment horizontal="center" vertical="center" wrapText="1"/>
    </xf>
    <xf numFmtId="165" fontId="12" fillId="6" borderId="79" xfId="5" applyNumberFormat="1" applyFont="1" applyFill="1" applyBorder="1" applyAlignment="1">
      <alignment horizontal="center" vertical="center"/>
    </xf>
    <xf numFmtId="10" fontId="20" fillId="30" borderId="79" xfId="0" applyNumberFormat="1" applyFont="1" applyFill="1" applyBorder="1" applyAlignment="1">
      <alignment horizontal="center" vertical="center"/>
    </xf>
    <xf numFmtId="10" fontId="20" fillId="30" borderId="79" xfId="0" applyNumberFormat="1" applyFont="1" applyFill="1" applyBorder="1" applyAlignment="1">
      <alignment horizontal="center" vertical="center" wrapText="1"/>
    </xf>
    <xf numFmtId="0" fontId="81" fillId="56" borderId="79" xfId="1" applyFont="1" applyFill="1" applyBorder="1" applyAlignment="1">
      <alignment horizontal="center" vertical="center"/>
    </xf>
    <xf numFmtId="0" fontId="121" fillId="51" borderId="73" xfId="0" applyFont="1" applyFill="1" applyBorder="1" applyAlignment="1">
      <alignment horizontal="center" vertical="center" wrapText="1" readingOrder="1"/>
    </xf>
    <xf numFmtId="0" fontId="63" fillId="51" borderId="73" xfId="0" applyFont="1" applyFill="1" applyBorder="1" applyAlignment="1">
      <alignment horizontal="center" vertical="center" wrapText="1"/>
    </xf>
    <xf numFmtId="10" fontId="20" fillId="6" borderId="79" xfId="1" applyNumberFormat="1" applyFont="1" applyFill="1" applyBorder="1" applyAlignment="1">
      <alignment horizontal="center" vertical="center" wrapText="1"/>
    </xf>
    <xf numFmtId="0" fontId="21" fillId="0" borderId="0" xfId="1" applyFont="1" applyAlignment="1">
      <alignment horizontal="center" vertical="center" wrapText="1"/>
    </xf>
    <xf numFmtId="0" fontId="21" fillId="0" borderId="0" xfId="1" applyFont="1" applyAlignment="1">
      <alignment vertical="center"/>
    </xf>
    <xf numFmtId="10" fontId="123" fillId="6" borderId="2" xfId="3" applyNumberFormat="1" applyFont="1" applyFill="1" applyBorder="1" applyAlignment="1">
      <alignment horizontal="center" vertical="center"/>
    </xf>
    <xf numFmtId="10" fontId="16" fillId="13" borderId="2" xfId="3" applyNumberFormat="1" applyFont="1" applyFill="1" applyBorder="1" applyAlignment="1">
      <alignment horizontal="center" vertical="center"/>
    </xf>
    <xf numFmtId="0" fontId="97" fillId="0" borderId="0" xfId="35" applyFont="1" applyAlignment="1">
      <alignment vertical="center"/>
    </xf>
    <xf numFmtId="0" fontId="97" fillId="0" borderId="0" xfId="35" applyFont="1" applyAlignment="1">
      <alignment horizontal="center" vertical="center"/>
    </xf>
    <xf numFmtId="0" fontId="97" fillId="0" borderId="0" xfId="35" applyFont="1" applyAlignment="1">
      <alignment horizontal="justify" vertical="center"/>
    </xf>
    <xf numFmtId="0" fontId="16" fillId="3" borderId="79" xfId="1" applyFont="1" applyFill="1" applyBorder="1" applyAlignment="1">
      <alignment horizontal="justify" vertical="center" wrapText="1"/>
    </xf>
    <xf numFmtId="0" fontId="97" fillId="0" borderId="79" xfId="35" applyFont="1" applyBorder="1" applyAlignment="1">
      <alignment vertical="center"/>
    </xf>
    <xf numFmtId="0" fontId="19" fillId="0" borderId="35" xfId="8" applyFont="1" applyBorder="1" applyAlignment="1">
      <alignment horizontal="center"/>
    </xf>
    <xf numFmtId="0" fontId="37" fillId="0" borderId="79" xfId="8" applyFont="1" applyBorder="1" applyAlignment="1">
      <alignment horizontal="center"/>
    </xf>
    <xf numFmtId="0" fontId="19" fillId="0" borderId="82" xfId="8" applyFont="1" applyBorder="1" applyAlignment="1">
      <alignment horizontal="center"/>
    </xf>
    <xf numFmtId="0" fontId="19" fillId="0" borderId="83" xfId="8" applyFont="1" applyBorder="1" applyAlignment="1">
      <alignment horizontal="center"/>
    </xf>
    <xf numFmtId="0" fontId="19" fillId="0" borderId="94" xfId="8" applyFont="1" applyBorder="1" applyAlignment="1">
      <alignment horizontal="center"/>
    </xf>
    <xf numFmtId="10" fontId="37" fillId="13" borderId="79" xfId="8" applyNumberFormat="1" applyFont="1" applyFill="1" applyBorder="1" applyAlignment="1">
      <alignment vertical="center"/>
    </xf>
    <xf numFmtId="2" fontId="37" fillId="0" borderId="79" xfId="8" applyNumberFormat="1" applyFont="1" applyBorder="1" applyAlignment="1">
      <alignment horizontal="center"/>
    </xf>
    <xf numFmtId="0" fontId="17" fillId="45" borderId="2" xfId="17" applyFont="1" applyFill="1" applyBorder="1" applyAlignment="1">
      <alignment horizontal="center" vertical="center" wrapText="1"/>
    </xf>
    <xf numFmtId="10" fontId="43" fillId="13" borderId="10" xfId="3" applyNumberFormat="1" applyFont="1" applyFill="1" applyBorder="1" applyAlignment="1">
      <alignment horizontal="center"/>
    </xf>
    <xf numFmtId="10" fontId="39" fillId="13" borderId="79" xfId="3" applyNumberFormat="1" applyFont="1" applyFill="1" applyBorder="1" applyAlignment="1">
      <alignment horizontal="center"/>
    </xf>
    <xf numFmtId="10" fontId="84" fillId="21" borderId="79" xfId="3" applyNumberFormat="1" applyFont="1" applyFill="1" applyBorder="1" applyAlignment="1">
      <alignment horizontal="center" vertical="center" wrapText="1"/>
    </xf>
    <xf numFmtId="9" fontId="62" fillId="0" borderId="0" xfId="19" applyFont="1" applyBorder="1" applyAlignment="1">
      <alignment horizontal="center"/>
    </xf>
    <xf numFmtId="10" fontId="39" fillId="6" borderId="79" xfId="3" applyNumberFormat="1" applyFont="1" applyFill="1" applyBorder="1" applyAlignment="1">
      <alignment horizontal="center"/>
    </xf>
    <xf numFmtId="10" fontId="82" fillId="6" borderId="2" xfId="10" applyNumberFormat="1" applyFont="1" applyFill="1" applyBorder="1" applyAlignment="1">
      <alignment horizontal="center" vertical="center"/>
    </xf>
    <xf numFmtId="0" fontId="63" fillId="6" borderId="79" xfId="0" applyFont="1" applyFill="1" applyBorder="1" applyAlignment="1">
      <alignment horizontal="center" vertical="center"/>
    </xf>
    <xf numFmtId="0" fontId="24" fillId="6" borderId="0" xfId="17" applyFont="1" applyFill="1" applyAlignment="1">
      <alignment horizontal="center" vertical="center" wrapText="1"/>
    </xf>
    <xf numFmtId="0" fontId="17" fillId="6" borderId="0" xfId="17" applyFont="1" applyFill="1" applyAlignment="1">
      <alignment horizontal="center" vertical="center" wrapText="1"/>
    </xf>
    <xf numFmtId="0" fontId="10" fillId="0" borderId="0" xfId="17" applyAlignment="1">
      <alignment horizontal="center" vertical="center"/>
    </xf>
    <xf numFmtId="10" fontId="126" fillId="21" borderId="79" xfId="3" applyNumberFormat="1" applyFont="1" applyFill="1" applyBorder="1" applyAlignment="1">
      <alignment horizontal="center" vertical="center" wrapText="1"/>
    </xf>
    <xf numFmtId="0" fontId="97" fillId="0" borderId="19" xfId="35" applyFont="1" applyBorder="1" applyAlignment="1">
      <alignment vertical="center"/>
    </xf>
    <xf numFmtId="0" fontId="97" fillId="0" borderId="32" xfId="35" applyFont="1" applyBorder="1" applyAlignment="1">
      <alignment vertical="center"/>
    </xf>
    <xf numFmtId="0" fontId="97" fillId="13" borderId="32" xfId="35" applyFont="1" applyFill="1" applyBorder="1" applyAlignment="1">
      <alignment horizontal="center" vertical="center"/>
    </xf>
    <xf numFmtId="0" fontId="97" fillId="13" borderId="79" xfId="35" applyFont="1" applyFill="1" applyBorder="1" applyAlignment="1">
      <alignment horizontal="center" vertical="center"/>
    </xf>
    <xf numFmtId="0" fontId="44" fillId="54" borderId="34" xfId="35" applyFont="1" applyFill="1" applyBorder="1" applyAlignment="1">
      <alignment horizontal="justify" vertical="center"/>
    </xf>
    <xf numFmtId="0" fontId="44" fillId="54" borderId="33" xfId="35" applyFont="1" applyFill="1" applyBorder="1" applyAlignment="1">
      <alignment horizontal="center" vertical="center"/>
    </xf>
    <xf numFmtId="0" fontId="44" fillId="54" borderId="33" xfId="35" applyFont="1" applyFill="1" applyBorder="1" applyAlignment="1">
      <alignment vertical="center"/>
    </xf>
    <xf numFmtId="0" fontId="44" fillId="54" borderId="33" xfId="35" applyFont="1" applyFill="1" applyBorder="1" applyAlignment="1">
      <alignment horizontal="justify" vertical="center"/>
    </xf>
    <xf numFmtId="10" fontId="23" fillId="6" borderId="5" xfId="3" applyNumberFormat="1" applyFont="1" applyFill="1" applyBorder="1" applyAlignment="1">
      <alignment horizontal="center" vertical="center"/>
    </xf>
    <xf numFmtId="10" fontId="16" fillId="6" borderId="2" xfId="3" applyNumberFormat="1" applyFont="1" applyFill="1" applyBorder="1" applyAlignment="1">
      <alignment horizontal="center" vertical="center"/>
    </xf>
    <xf numFmtId="10" fontId="12" fillId="6" borderId="19" xfId="1" applyNumberFormat="1" applyFont="1" applyFill="1" applyBorder="1" applyAlignment="1">
      <alignment horizontal="center" vertical="center"/>
    </xf>
    <xf numFmtId="10" fontId="12" fillId="6" borderId="2" xfId="1" applyNumberFormat="1" applyFont="1" applyFill="1" applyBorder="1" applyAlignment="1">
      <alignment horizontal="center" vertical="center"/>
    </xf>
    <xf numFmtId="9" fontId="10" fillId="42" borderId="83" xfId="1" applyNumberFormat="1" applyFill="1" applyBorder="1" applyAlignment="1">
      <alignment horizontal="center" vertical="center" wrapText="1"/>
    </xf>
    <xf numFmtId="10" fontId="10" fillId="0" borderId="79" xfId="1" applyNumberFormat="1" applyBorder="1" applyAlignment="1">
      <alignment horizontal="center" vertical="center" wrapText="1"/>
    </xf>
    <xf numFmtId="9" fontId="10" fillId="6" borderId="83" xfId="1" applyNumberFormat="1" applyFill="1" applyBorder="1" applyAlignment="1">
      <alignment horizontal="center" vertical="center" wrapText="1"/>
    </xf>
    <xf numFmtId="0" fontId="10" fillId="6" borderId="80" xfId="1" applyFill="1" applyBorder="1" applyAlignment="1">
      <alignment horizontal="justify" vertical="center" wrapText="1"/>
    </xf>
    <xf numFmtId="9" fontId="10" fillId="7" borderId="80" xfId="1" applyNumberFormat="1" applyFill="1" applyBorder="1" applyAlignment="1">
      <alignment horizontal="center" vertical="center" wrapText="1"/>
    </xf>
    <xf numFmtId="9" fontId="23" fillId="7" borderId="79" xfId="1" applyNumberFormat="1" applyFont="1" applyFill="1" applyBorder="1" applyAlignment="1">
      <alignment horizontal="center" vertical="center" wrapText="1"/>
    </xf>
    <xf numFmtId="0" fontId="19" fillId="0" borderId="0" xfId="17" applyFont="1" applyAlignment="1">
      <alignment horizontal="center" vertical="center"/>
    </xf>
    <xf numFmtId="0" fontId="19" fillId="0" borderId="0" xfId="17" applyFont="1" applyAlignment="1">
      <alignment vertical="center"/>
    </xf>
    <xf numFmtId="0" fontId="12" fillId="0" borderId="0" xfId="17" applyFont="1" applyAlignment="1">
      <alignment horizontal="center" vertical="center" wrapText="1"/>
    </xf>
    <xf numFmtId="0" fontId="12" fillId="0" borderId="0" xfId="17" applyFont="1" applyAlignment="1">
      <alignment vertical="center" wrapText="1"/>
    </xf>
    <xf numFmtId="0" fontId="12" fillId="0" borderId="79" xfId="17" applyFont="1" applyBorder="1" applyAlignment="1">
      <alignment horizontal="justify" vertical="center" wrapText="1"/>
    </xf>
    <xf numFmtId="0" fontId="21" fillId="0" borderId="0" xfId="17" applyFont="1" applyAlignment="1">
      <alignment horizontal="justify" vertical="center" wrapText="1"/>
    </xf>
    <xf numFmtId="0" fontId="21" fillId="0" borderId="0" xfId="17" applyFont="1" applyAlignment="1">
      <alignment vertical="center"/>
    </xf>
    <xf numFmtId="0" fontId="107" fillId="0" borderId="0" xfId="17" applyFont="1" applyAlignment="1">
      <alignment horizontal="center" vertical="center"/>
    </xf>
    <xf numFmtId="0" fontId="20" fillId="0" borderId="0" xfId="17" applyFont="1" applyAlignment="1">
      <alignment horizontal="center" vertical="center"/>
    </xf>
    <xf numFmtId="2" fontId="10" fillId="0" borderId="0" xfId="1" applyNumberFormat="1" applyAlignment="1">
      <alignment vertical="center"/>
    </xf>
    <xf numFmtId="10" fontId="10" fillId="6" borderId="2" xfId="3" applyNumberFormat="1" applyFont="1" applyFill="1" applyBorder="1" applyAlignment="1">
      <alignment horizontal="center" vertical="center"/>
    </xf>
    <xf numFmtId="10" fontId="19" fillId="13" borderId="0" xfId="19" applyNumberFormat="1" applyFont="1" applyFill="1" applyAlignment="1">
      <alignment vertical="center"/>
    </xf>
    <xf numFmtId="0" fontId="10" fillId="0" borderId="0" xfId="0" applyFont="1" applyAlignment="1">
      <alignment vertical="center"/>
    </xf>
    <xf numFmtId="0" fontId="12" fillId="0" borderId="79" xfId="0" applyFont="1" applyBorder="1" applyAlignment="1">
      <alignment horizontal="justify" vertical="center"/>
    </xf>
    <xf numFmtId="1" fontId="22" fillId="13" borderId="10" xfId="8" applyNumberFormat="1" applyFont="1" applyFill="1" applyBorder="1" applyAlignment="1">
      <alignment horizontal="center" vertical="center"/>
    </xf>
    <xf numFmtId="10" fontId="10" fillId="6" borderId="0" xfId="8" applyNumberFormat="1" applyFill="1"/>
    <xf numFmtId="0" fontId="10" fillId="0" borderId="0" xfId="27" applyFont="1" applyAlignment="1">
      <alignment vertical="center"/>
    </xf>
    <xf numFmtId="0" fontId="10" fillId="0" borderId="0" xfId="27" applyFont="1" applyAlignment="1">
      <alignment horizontal="center" vertical="center"/>
    </xf>
    <xf numFmtId="0" fontId="132" fillId="35" borderId="6" xfId="27" applyFont="1" applyFill="1" applyBorder="1" applyAlignment="1">
      <alignment horizontal="center" vertical="center"/>
    </xf>
    <xf numFmtId="0" fontId="132" fillId="35" borderId="10" xfId="27" applyFont="1" applyFill="1" applyBorder="1" applyAlignment="1">
      <alignment horizontal="justify" vertical="center"/>
    </xf>
    <xf numFmtId="0" fontId="132" fillId="35" borderId="84" xfId="27" applyFont="1" applyFill="1" applyBorder="1" applyAlignment="1">
      <alignment horizontal="center" vertical="center"/>
    </xf>
    <xf numFmtId="0" fontId="132" fillId="35" borderId="87" xfId="27" applyFont="1" applyFill="1" applyBorder="1" applyAlignment="1">
      <alignment horizontal="justify" vertical="center"/>
    </xf>
    <xf numFmtId="0" fontId="132" fillId="35" borderId="32" xfId="27" applyFont="1" applyFill="1" applyBorder="1" applyAlignment="1">
      <alignment horizontal="center" vertical="center"/>
    </xf>
    <xf numFmtId="0" fontId="12" fillId="0" borderId="59" xfId="27" applyFont="1" applyBorder="1" applyAlignment="1">
      <alignment vertical="center"/>
    </xf>
    <xf numFmtId="0" fontId="12" fillId="0" borderId="6" xfId="27" applyFont="1" applyBorder="1" applyAlignment="1">
      <alignment horizontal="center" vertical="center"/>
    </xf>
    <xf numFmtId="0" fontId="12" fillId="0" borderId="10" xfId="27" applyFont="1" applyBorder="1" applyAlignment="1">
      <alignment horizontal="center" vertical="center"/>
    </xf>
    <xf numFmtId="0" fontId="12" fillId="0" borderId="84" xfId="27" applyFont="1" applyBorder="1" applyAlignment="1">
      <alignment horizontal="center" vertical="center"/>
    </xf>
    <xf numFmtId="0" fontId="12" fillId="0" borderId="87" xfId="27" applyFont="1" applyBorder="1" applyAlignment="1">
      <alignment horizontal="center" vertical="center"/>
    </xf>
    <xf numFmtId="0" fontId="10" fillId="0" borderId="80" xfId="27" applyFont="1" applyBorder="1" applyAlignment="1">
      <alignment horizontal="center" vertical="center"/>
    </xf>
    <xf numFmtId="0" fontId="10" fillId="0" borderId="81" xfId="27" applyFont="1" applyBorder="1" applyAlignment="1">
      <alignment horizontal="center" vertical="center"/>
    </xf>
    <xf numFmtId="0" fontId="10" fillId="0" borderId="90" xfId="27" applyFont="1" applyBorder="1" applyAlignment="1">
      <alignment horizontal="center" vertical="center"/>
    </xf>
    <xf numFmtId="0" fontId="10" fillId="0" borderId="59" xfId="27" applyFont="1" applyBorder="1" applyAlignment="1">
      <alignment vertical="center"/>
    </xf>
    <xf numFmtId="0" fontId="10" fillId="0" borderId="10" xfId="27" applyFont="1" applyBorder="1" applyAlignment="1">
      <alignment horizontal="center" vertical="center"/>
    </xf>
    <xf numFmtId="0" fontId="10" fillId="0" borderId="84" xfId="27" applyFont="1" applyBorder="1" applyAlignment="1">
      <alignment horizontal="center" vertical="center"/>
    </xf>
    <xf numFmtId="0" fontId="10" fillId="0" borderId="87" xfId="27" applyFont="1" applyBorder="1" applyAlignment="1">
      <alignment horizontal="center" vertical="center"/>
    </xf>
    <xf numFmtId="0" fontId="10" fillId="0" borderId="59" xfId="27" applyFont="1" applyBorder="1" applyAlignment="1">
      <alignment vertical="center" wrapText="1"/>
    </xf>
    <xf numFmtId="0" fontId="10" fillId="0" borderId="35" xfId="27" applyFont="1" applyBorder="1" applyAlignment="1">
      <alignment vertical="center"/>
    </xf>
    <xf numFmtId="0" fontId="10" fillId="0" borderId="62" xfId="27" applyFont="1" applyBorder="1" applyAlignment="1">
      <alignment horizontal="center" vertical="center"/>
    </xf>
    <xf numFmtId="0" fontId="10" fillId="0" borderId="35" xfId="27" applyFont="1" applyBorder="1" applyAlignment="1">
      <alignment horizontal="center" vertical="center"/>
    </xf>
    <xf numFmtId="0" fontId="128" fillId="35" borderId="34" xfId="27" applyFont="1" applyFill="1" applyBorder="1" applyAlignment="1">
      <alignment horizontal="center" vertical="center"/>
    </xf>
    <xf numFmtId="0" fontId="10" fillId="6" borderId="0" xfId="27" applyFont="1" applyFill="1" applyBorder="1" applyAlignment="1">
      <alignment horizontal="center" vertical="center"/>
    </xf>
    <xf numFmtId="0" fontId="132" fillId="35" borderId="32" xfId="27" applyFont="1" applyFill="1" applyBorder="1" applyAlignment="1">
      <alignment horizontal="justify" vertical="center"/>
    </xf>
    <xf numFmtId="0" fontId="132" fillId="35" borderId="31" xfId="27" applyFont="1" applyFill="1" applyBorder="1" applyAlignment="1">
      <alignment horizontal="center" vertical="center"/>
    </xf>
    <xf numFmtId="0" fontId="133" fillId="0" borderId="85" xfId="26" applyFont="1" applyBorder="1" applyAlignment="1">
      <alignment horizontal="justify" vertical="center"/>
    </xf>
    <xf numFmtId="10" fontId="97" fillId="0" borderId="80" xfId="20" applyNumberFormat="1" applyFont="1" applyBorder="1" applyAlignment="1">
      <alignment horizontal="center" vertical="center"/>
    </xf>
    <xf numFmtId="9" fontId="97" fillId="0" borderId="91" xfId="26" applyNumberFormat="1" applyFont="1" applyBorder="1" applyAlignment="1">
      <alignment horizontal="center" vertical="center"/>
    </xf>
    <xf numFmtId="0" fontId="10" fillId="0" borderId="85" xfId="27" applyFont="1" applyBorder="1" applyAlignment="1">
      <alignment horizontal="center" vertical="center"/>
    </xf>
    <xf numFmtId="9" fontId="97" fillId="0" borderId="90" xfId="26" applyNumberFormat="1" applyFont="1" applyBorder="1" applyAlignment="1">
      <alignment horizontal="center" vertical="center"/>
    </xf>
    <xf numFmtId="0" fontId="133" fillId="0" borderId="6" xfId="26" applyFont="1" applyBorder="1" applyAlignment="1">
      <alignment vertical="center"/>
    </xf>
    <xf numFmtId="9" fontId="97" fillId="0" borderId="87" xfId="26" applyNumberFormat="1" applyFont="1" applyBorder="1" applyAlignment="1">
      <alignment horizontal="center" vertical="center"/>
    </xf>
    <xf numFmtId="9" fontId="97" fillId="0" borderId="10" xfId="26" applyNumberFormat="1" applyFont="1" applyBorder="1" applyAlignment="1">
      <alignment horizontal="center" vertical="center"/>
    </xf>
    <xf numFmtId="9" fontId="97" fillId="0" borderId="79" xfId="20" applyFont="1" applyBorder="1" applyAlignment="1">
      <alignment horizontal="center" vertical="center"/>
    </xf>
    <xf numFmtId="0" fontId="97" fillId="0" borderId="87" xfId="26" applyFont="1" applyBorder="1" applyAlignment="1">
      <alignment horizontal="center" vertical="center"/>
    </xf>
    <xf numFmtId="0" fontId="97" fillId="0" borderId="10" xfId="26" applyFont="1" applyBorder="1" applyAlignment="1">
      <alignment horizontal="center" vertical="center"/>
    </xf>
    <xf numFmtId="10" fontId="97" fillId="0" borderId="79" xfId="20" applyNumberFormat="1" applyFont="1" applyBorder="1" applyAlignment="1">
      <alignment horizontal="center" vertical="center"/>
    </xf>
    <xf numFmtId="0" fontId="133" fillId="0" borderId="31" xfId="26" applyFont="1" applyBorder="1" applyAlignment="1">
      <alignment horizontal="justify" vertical="center"/>
    </xf>
    <xf numFmtId="9" fontId="97" fillId="0" borderId="32" xfId="20" applyFont="1" applyBorder="1" applyAlignment="1">
      <alignment horizontal="center" vertical="center"/>
    </xf>
    <xf numFmtId="0" fontId="10" fillId="0" borderId="97" xfId="27" applyFont="1" applyBorder="1" applyAlignment="1">
      <alignment vertical="center"/>
    </xf>
    <xf numFmtId="0" fontId="10" fillId="0" borderId="31" xfId="27" applyFont="1" applyBorder="1" applyAlignment="1">
      <alignment horizontal="center" vertical="center"/>
    </xf>
    <xf numFmtId="9" fontId="10" fillId="13" borderId="41" xfId="27" applyNumberFormat="1" applyFont="1" applyFill="1" applyBorder="1" applyAlignment="1">
      <alignment horizontal="center" vertical="center"/>
    </xf>
    <xf numFmtId="0" fontId="10" fillId="13" borderId="42" xfId="27" applyFont="1" applyFill="1" applyBorder="1" applyAlignment="1">
      <alignment vertical="center"/>
    </xf>
    <xf numFmtId="9" fontId="10" fillId="13" borderId="42" xfId="27" applyNumberFormat="1" applyFont="1" applyFill="1" applyBorder="1" applyAlignment="1">
      <alignment horizontal="center" vertical="center"/>
    </xf>
    <xf numFmtId="9" fontId="10" fillId="13" borderId="43" xfId="27" applyNumberFormat="1" applyFont="1" applyFill="1" applyBorder="1" applyAlignment="1">
      <alignment horizontal="center" vertical="center"/>
    </xf>
    <xf numFmtId="0" fontId="128" fillId="35" borderId="60" xfId="27" applyFont="1" applyFill="1" applyBorder="1" applyAlignment="1">
      <alignment vertical="center"/>
    </xf>
    <xf numFmtId="0" fontId="131" fillId="0" borderId="56" xfId="27" applyFont="1" applyBorder="1" applyAlignment="1">
      <alignment horizontal="center" vertical="center"/>
    </xf>
    <xf numFmtId="0" fontId="131" fillId="0" borderId="57" xfId="27" applyFont="1" applyBorder="1" applyAlignment="1">
      <alignment horizontal="justify" vertical="center"/>
    </xf>
    <xf numFmtId="0" fontId="127" fillId="0" borderId="57" xfId="27" applyFont="1" applyBorder="1" applyAlignment="1">
      <alignment horizontal="center"/>
    </xf>
    <xf numFmtId="0" fontId="127" fillId="0" borderId="58" xfId="27" applyFont="1" applyBorder="1" applyAlignment="1">
      <alignment horizontal="center"/>
    </xf>
    <xf numFmtId="0" fontId="131" fillId="0" borderId="58" xfId="27" applyFont="1" applyBorder="1" applyAlignment="1">
      <alignment horizontal="justify" vertical="center"/>
    </xf>
    <xf numFmtId="0" fontId="115" fillId="32" borderId="33" xfId="25" applyFont="1" applyFill="1" applyBorder="1" applyAlignment="1">
      <alignment horizontal="center" vertical="center"/>
    </xf>
    <xf numFmtId="0" fontId="115" fillId="32" borderId="70" xfId="25" applyFont="1" applyFill="1" applyBorder="1" applyAlignment="1">
      <alignment horizontal="center" vertical="center"/>
    </xf>
    <xf numFmtId="0" fontId="99" fillId="32" borderId="74" xfId="25" applyFont="1" applyFill="1" applyBorder="1" applyAlignment="1">
      <alignment horizontal="center" vertical="center"/>
    </xf>
    <xf numFmtId="0" fontId="99" fillId="32" borderId="33" xfId="25" applyFont="1" applyFill="1" applyBorder="1" applyAlignment="1">
      <alignment horizontal="center" vertical="center"/>
    </xf>
    <xf numFmtId="0" fontId="114" fillId="6" borderId="79" xfId="0" applyFont="1" applyFill="1" applyBorder="1" applyAlignment="1">
      <alignment horizontal="center" vertical="center" wrapText="1"/>
    </xf>
    <xf numFmtId="0" fontId="135" fillId="0" borderId="79" xfId="17" applyFont="1" applyBorder="1" applyAlignment="1">
      <alignment horizontal="justify" vertical="center"/>
    </xf>
    <xf numFmtId="9" fontId="10" fillId="0" borderId="0" xfId="19" applyFont="1" applyAlignment="1">
      <alignment vertical="center"/>
    </xf>
    <xf numFmtId="0" fontId="10" fillId="0" borderId="0" xfId="0" applyFont="1" applyAlignment="1">
      <alignment horizontal="center" vertical="center"/>
    </xf>
    <xf numFmtId="2" fontId="102" fillId="6" borderId="2" xfId="0" applyNumberFormat="1" applyFont="1" applyFill="1" applyBorder="1" applyAlignment="1">
      <alignment horizontal="center" vertical="center"/>
    </xf>
    <xf numFmtId="10" fontId="102" fillId="6" borderId="2" xfId="0" applyNumberFormat="1" applyFont="1" applyFill="1" applyBorder="1" applyAlignment="1">
      <alignment horizontal="center" vertical="center"/>
    </xf>
    <xf numFmtId="0" fontId="139" fillId="0" borderId="2" xfId="0" applyFont="1" applyBorder="1" applyAlignment="1">
      <alignment horizontal="justify" vertical="center" wrapText="1"/>
    </xf>
    <xf numFmtId="165" fontId="17" fillId="6" borderId="79" xfId="3" applyNumberFormat="1" applyFont="1" applyFill="1" applyBorder="1" applyAlignment="1">
      <alignment horizontal="center" vertical="center" wrapText="1"/>
    </xf>
    <xf numFmtId="9" fontId="17" fillId="6" borderId="79" xfId="1" applyNumberFormat="1" applyFont="1" applyFill="1" applyBorder="1" applyAlignment="1">
      <alignment horizontal="center" vertical="center" wrapText="1"/>
    </xf>
    <xf numFmtId="168" fontId="104" fillId="50" borderId="79" xfId="7" applyNumberFormat="1" applyFont="1" applyFill="1" applyBorder="1" applyAlignment="1">
      <alignment horizontal="center" vertical="center"/>
    </xf>
    <xf numFmtId="2" fontId="104" fillId="50" borderId="79" xfId="7" applyNumberFormat="1" applyFont="1" applyFill="1" applyBorder="1" applyAlignment="1">
      <alignment horizontal="center" vertical="center"/>
    </xf>
    <xf numFmtId="0" fontId="102" fillId="6" borderId="2" xfId="0" applyFont="1" applyFill="1" applyBorder="1" applyAlignment="1">
      <alignment horizontal="center" vertical="center"/>
    </xf>
    <xf numFmtId="0" fontId="17" fillId="6" borderId="2" xfId="8" applyFont="1" applyFill="1" applyBorder="1" applyAlignment="1">
      <alignment horizontal="justify" vertical="center"/>
    </xf>
    <xf numFmtId="2" fontId="102" fillId="0" borderId="2" xfId="0" applyNumberFormat="1" applyFont="1" applyBorder="1" applyAlignment="1">
      <alignment horizontal="center" vertical="center"/>
    </xf>
    <xf numFmtId="10" fontId="102" fillId="0" borderId="2" xfId="0" applyNumberFormat="1" applyFont="1" applyBorder="1" applyAlignment="1">
      <alignment horizontal="center" vertical="center"/>
    </xf>
    <xf numFmtId="0" fontId="71" fillId="3" borderId="83" xfId="1" applyFont="1" applyFill="1" applyBorder="1" applyAlignment="1">
      <alignment horizontal="justify" vertical="center" wrapText="1"/>
    </xf>
    <xf numFmtId="0" fontId="141" fillId="0" borderId="2" xfId="0" applyFont="1" applyBorder="1" applyAlignment="1">
      <alignment horizontal="justify" vertical="center"/>
    </xf>
    <xf numFmtId="0" fontId="139" fillId="0" borderId="2" xfId="0" applyFont="1" applyBorder="1" applyAlignment="1">
      <alignment horizontal="justify" vertical="center"/>
    </xf>
    <xf numFmtId="0" fontId="24" fillId="0" borderId="0" xfId="1" applyFont="1" applyAlignment="1">
      <alignment vertical="center"/>
    </xf>
    <xf numFmtId="0" fontId="63" fillId="0" borderId="0" xfId="1" applyFont="1" applyAlignment="1">
      <alignment vertical="center"/>
    </xf>
    <xf numFmtId="0" fontId="24" fillId="0" borderId="79" xfId="1" applyFont="1" applyBorder="1" applyAlignment="1">
      <alignment horizontal="center" vertical="center"/>
    </xf>
    <xf numFmtId="0" fontId="63" fillId="0" borderId="79" xfId="1" applyFont="1" applyBorder="1" applyAlignment="1">
      <alignment horizontal="center" vertical="center"/>
    </xf>
    <xf numFmtId="0" fontId="10" fillId="0" borderId="87" xfId="1" applyBorder="1" applyAlignment="1">
      <alignment horizontal="justify" vertical="center"/>
    </xf>
    <xf numFmtId="0" fontId="10" fillId="0" borderId="79" xfId="1" applyBorder="1" applyAlignment="1">
      <alignment horizontal="justify" vertical="center"/>
    </xf>
    <xf numFmtId="0" fontId="12" fillId="0" borderId="79" xfId="1" applyFont="1" applyBorder="1" applyAlignment="1">
      <alignment vertical="center"/>
    </xf>
    <xf numFmtId="165" fontId="44" fillId="37" borderId="79" xfId="3" applyNumberFormat="1" applyFont="1" applyFill="1" applyBorder="1" applyAlignment="1">
      <alignment horizontal="center" vertical="center" wrapText="1"/>
    </xf>
    <xf numFmtId="0" fontId="24" fillId="6" borderId="79" xfId="1" applyFont="1" applyFill="1" applyBorder="1" applyAlignment="1">
      <alignment horizontal="justify" vertical="center" wrapText="1"/>
    </xf>
    <xf numFmtId="9" fontId="24" fillId="6" borderId="79" xfId="1" applyNumberFormat="1" applyFont="1" applyFill="1" applyBorder="1" applyAlignment="1">
      <alignment horizontal="justify" vertical="center" wrapText="1"/>
    </xf>
    <xf numFmtId="167" fontId="24" fillId="6" borderId="79" xfId="13" applyNumberFormat="1" applyFont="1" applyFill="1" applyBorder="1" applyAlignment="1">
      <alignment horizontal="justify" vertical="center" wrapText="1"/>
    </xf>
    <xf numFmtId="167" fontId="24" fillId="6" borderId="79" xfId="33" applyNumberFormat="1" applyFont="1" applyFill="1" applyBorder="1" applyAlignment="1">
      <alignment horizontal="justify" vertical="center" wrapText="1"/>
    </xf>
    <xf numFmtId="0" fontId="17" fillId="30" borderId="79" xfId="0" applyFont="1" applyFill="1" applyBorder="1" applyAlignment="1">
      <alignment horizontal="center" vertical="center" wrapText="1" readingOrder="1"/>
    </xf>
    <xf numFmtId="9" fontId="24" fillId="6" borderId="79" xfId="32" applyFont="1" applyFill="1" applyBorder="1" applyAlignment="1">
      <alignment horizontal="justify" vertical="center" wrapText="1"/>
    </xf>
    <xf numFmtId="167" fontId="44" fillId="37" borderId="79" xfId="13" applyNumberFormat="1" applyFont="1" applyFill="1" applyBorder="1" applyAlignment="1">
      <alignment vertical="center" wrapText="1"/>
    </xf>
    <xf numFmtId="10" fontId="44" fillId="50" borderId="79" xfId="13" applyNumberFormat="1" applyFont="1" applyFill="1" applyBorder="1" applyAlignment="1">
      <alignment vertical="center" wrapText="1"/>
    </xf>
    <xf numFmtId="9" fontId="24" fillId="6" borderId="79" xfId="3" applyFont="1" applyFill="1" applyBorder="1" applyAlignment="1">
      <alignment horizontal="center" vertical="center" wrapText="1"/>
    </xf>
    <xf numFmtId="0" fontId="24" fillId="6" borderId="79" xfId="1" applyFont="1" applyFill="1" applyBorder="1" applyAlignment="1">
      <alignment horizontal="left" vertical="center" wrapText="1"/>
    </xf>
    <xf numFmtId="0" fontId="17" fillId="6" borderId="79" xfId="1" applyFont="1" applyFill="1" applyBorder="1" applyAlignment="1">
      <alignment horizontal="center" vertical="center" wrapText="1"/>
    </xf>
    <xf numFmtId="165" fontId="24" fillId="6" borderId="79" xfId="3" applyNumberFormat="1" applyFont="1" applyFill="1" applyBorder="1" applyAlignment="1">
      <alignment horizontal="center" vertical="center" wrapText="1"/>
    </xf>
    <xf numFmtId="0" fontId="50" fillId="6" borderId="79" xfId="7" applyFont="1" applyFill="1" applyBorder="1" applyAlignment="1">
      <alignment horizontal="center" vertical="center"/>
    </xf>
    <xf numFmtId="168" fontId="50" fillId="6" borderId="79" xfId="7" applyNumberFormat="1" applyFont="1" applyFill="1" applyBorder="1" applyAlignment="1">
      <alignment horizontal="center" vertical="center"/>
    </xf>
    <xf numFmtId="1" fontId="50" fillId="6" borderId="79" xfId="7" applyNumberFormat="1" applyFont="1" applyFill="1" applyBorder="1" applyAlignment="1">
      <alignment horizontal="center" vertical="center"/>
    </xf>
    <xf numFmtId="168" fontId="104" fillId="37" borderId="79" xfId="7" applyNumberFormat="1" applyFont="1" applyFill="1" applyBorder="1" applyAlignment="1">
      <alignment horizontal="center" vertical="center"/>
    </xf>
    <xf numFmtId="0" fontId="50" fillId="6" borderId="79" xfId="7" applyFont="1" applyFill="1" applyBorder="1"/>
    <xf numFmtId="0" fontId="50" fillId="0" borderId="79" xfId="7" applyFont="1" applyBorder="1"/>
    <xf numFmtId="0" fontId="63" fillId="49" borderId="50" xfId="0" applyFont="1" applyFill="1" applyBorder="1" applyAlignment="1">
      <alignment horizontal="center" vertical="center"/>
    </xf>
    <xf numFmtId="0" fontId="63" fillId="0" borderId="50" xfId="0" applyFont="1" applyBorder="1" applyAlignment="1">
      <alignment horizontal="center" vertical="center"/>
    </xf>
    <xf numFmtId="9" fontId="63" fillId="0" borderId="50" xfId="19" applyFont="1" applyBorder="1" applyAlignment="1">
      <alignment horizontal="center" vertical="center"/>
    </xf>
    <xf numFmtId="0" fontId="63" fillId="0" borderId="44" xfId="0" applyFont="1" applyBorder="1" applyAlignment="1">
      <alignment horizontal="center" vertical="center"/>
    </xf>
    <xf numFmtId="0" fontId="63" fillId="0" borderId="47" xfId="0" applyFont="1" applyBorder="1" applyAlignment="1">
      <alignment horizontal="center" vertical="center"/>
    </xf>
    <xf numFmtId="0" fontId="37" fillId="49" borderId="37" xfId="0" applyFont="1" applyFill="1" applyBorder="1" applyAlignment="1">
      <alignment horizontal="center" vertical="center"/>
    </xf>
    <xf numFmtId="0" fontId="63" fillId="49" borderId="43" xfId="0" applyFont="1" applyFill="1" applyBorder="1" applyAlignment="1">
      <alignment horizontal="center" vertical="center"/>
    </xf>
    <xf numFmtId="9" fontId="143" fillId="49" borderId="50" xfId="0" applyNumberFormat="1" applyFont="1" applyFill="1" applyBorder="1" applyAlignment="1">
      <alignment horizontal="center" vertical="center"/>
    </xf>
    <xf numFmtId="0" fontId="83" fillId="51" borderId="83" xfId="0" applyFont="1" applyFill="1" applyBorder="1" applyAlignment="1">
      <alignment horizontal="left" vertical="center" wrapText="1"/>
    </xf>
    <xf numFmtId="0" fontId="83" fillId="51" borderId="83" xfId="0" applyFont="1" applyFill="1" applyBorder="1" applyAlignment="1">
      <alignment horizontal="center" vertical="center" wrapText="1"/>
    </xf>
    <xf numFmtId="0" fontId="83" fillId="52" borderId="83" xfId="0" applyFont="1" applyFill="1" applyBorder="1" applyAlignment="1">
      <alignment horizontal="center" vertical="center" wrapText="1"/>
    </xf>
    <xf numFmtId="0" fontId="17" fillId="51" borderId="83" xfId="0" applyFont="1" applyFill="1" applyBorder="1" applyAlignment="1">
      <alignment horizontal="center" vertical="center" wrapText="1"/>
    </xf>
    <xf numFmtId="10" fontId="72" fillId="6" borderId="79" xfId="1" applyNumberFormat="1" applyFont="1" applyFill="1" applyBorder="1" applyAlignment="1">
      <alignment horizontal="center" vertical="center"/>
    </xf>
    <xf numFmtId="0" fontId="72" fillId="0" borderId="79" xfId="35" applyFont="1" applyBorder="1" applyAlignment="1">
      <alignment horizontal="center" vertical="center"/>
    </xf>
    <xf numFmtId="0" fontId="118" fillId="12" borderId="57" xfId="0" applyFont="1" applyFill="1" applyBorder="1" applyAlignment="1">
      <alignment horizontal="center" vertical="center" wrapText="1"/>
    </xf>
    <xf numFmtId="0" fontId="83" fillId="51" borderId="56" xfId="0" applyFont="1" applyFill="1" applyBorder="1" applyAlignment="1">
      <alignment horizontal="justify" vertical="center" wrapText="1"/>
    </xf>
    <xf numFmtId="0" fontId="136" fillId="51" borderId="57" xfId="0" applyFont="1" applyFill="1" applyBorder="1" applyAlignment="1">
      <alignment horizontal="justify" vertical="center" wrapText="1"/>
    </xf>
    <xf numFmtId="0" fontId="136" fillId="52" borderId="57" xfId="0" applyFont="1" applyFill="1" applyBorder="1" applyAlignment="1">
      <alignment horizontal="justify" vertical="center" wrapText="1"/>
    </xf>
    <xf numFmtId="0" fontId="137" fillId="53" borderId="57" xfId="0" applyFont="1" applyFill="1" applyBorder="1" applyAlignment="1">
      <alignment horizontal="justify" vertical="center" wrapText="1"/>
    </xf>
    <xf numFmtId="0" fontId="138" fillId="51" borderId="58" xfId="0" applyFont="1" applyFill="1" applyBorder="1" applyAlignment="1">
      <alignment horizontal="justify" vertical="center" wrapText="1"/>
    </xf>
    <xf numFmtId="0" fontId="13" fillId="2" borderId="1" xfId="1" applyFont="1" applyFill="1" applyBorder="1" applyAlignment="1">
      <alignment horizontal="center" vertical="center" wrapText="1"/>
    </xf>
    <xf numFmtId="165" fontId="17" fillId="12" borderId="79" xfId="19" applyNumberFormat="1" applyFont="1" applyFill="1" applyBorder="1" applyAlignment="1">
      <alignment horizontal="center" vertical="center" wrapText="1"/>
    </xf>
    <xf numFmtId="165" fontId="75" fillId="0" borderId="6" xfId="3" applyNumberFormat="1" applyFont="1" applyBorder="1" applyAlignment="1">
      <alignment horizontal="center"/>
    </xf>
    <xf numFmtId="165" fontId="75" fillId="0" borderId="2" xfId="3" applyNumberFormat="1" applyFont="1" applyBorder="1" applyAlignment="1">
      <alignment horizontal="center"/>
    </xf>
    <xf numFmtId="10" fontId="75" fillId="0" borderId="2" xfId="3" applyNumberFormat="1" applyFont="1" applyBorder="1" applyAlignment="1">
      <alignment horizontal="center"/>
    </xf>
    <xf numFmtId="9" fontId="75" fillId="0" borderId="2" xfId="3" applyFont="1" applyBorder="1" applyAlignment="1">
      <alignment horizontal="center"/>
    </xf>
    <xf numFmtId="10" fontId="75" fillId="6" borderId="2" xfId="3" applyNumberFormat="1" applyFont="1" applyFill="1" applyBorder="1" applyAlignment="1">
      <alignment horizontal="center"/>
    </xf>
    <xf numFmtId="10" fontId="75" fillId="6" borderId="10" xfId="3" applyNumberFormat="1" applyFont="1" applyFill="1" applyBorder="1" applyAlignment="1">
      <alignment horizontal="center"/>
    </xf>
    <xf numFmtId="10" fontId="75" fillId="13" borderId="10" xfId="3" applyNumberFormat="1" applyFont="1" applyFill="1" applyBorder="1" applyAlignment="1">
      <alignment horizontal="center"/>
    </xf>
    <xf numFmtId="165" fontId="19" fillId="0" borderId="0" xfId="3" applyNumberFormat="1" applyFont="1" applyBorder="1" applyAlignment="1">
      <alignment horizontal="center"/>
    </xf>
    <xf numFmtId="9" fontId="68" fillId="0" borderId="0" xfId="3" applyFont="1" applyBorder="1" applyAlignment="1">
      <alignment horizontal="center"/>
    </xf>
    <xf numFmtId="0" fontId="22" fillId="17" borderId="9" xfId="8" applyFont="1" applyFill="1" applyBorder="1" applyAlignment="1">
      <alignment horizontal="center"/>
    </xf>
    <xf numFmtId="0" fontId="22" fillId="17" borderId="2" xfId="8" applyFont="1" applyFill="1" applyBorder="1" applyAlignment="1">
      <alignment horizontal="center"/>
    </xf>
    <xf numFmtId="0" fontId="22" fillId="17" borderId="7" xfId="8" applyFont="1" applyFill="1" applyBorder="1" applyAlignment="1">
      <alignment horizontal="center"/>
    </xf>
    <xf numFmtId="0" fontId="20" fillId="19" borderId="6" xfId="8" applyFont="1" applyFill="1" applyBorder="1" applyAlignment="1">
      <alignment horizontal="center"/>
    </xf>
    <xf numFmtId="0" fontId="20" fillId="19" borderId="2" xfId="8" applyFont="1" applyFill="1" applyBorder="1" applyAlignment="1">
      <alignment horizontal="center"/>
    </xf>
    <xf numFmtId="0" fontId="20" fillId="19" borderId="7" xfId="8" applyFont="1" applyFill="1" applyBorder="1" applyAlignment="1">
      <alignment horizontal="center"/>
    </xf>
    <xf numFmtId="0" fontId="20" fillId="19" borderId="28" xfId="8" applyFont="1" applyFill="1" applyBorder="1" applyAlignment="1">
      <alignment horizontal="center"/>
    </xf>
    <xf numFmtId="0" fontId="20" fillId="19" borderId="91" xfId="8" applyFont="1" applyFill="1" applyBorder="1" applyAlignment="1">
      <alignment horizontal="center"/>
    </xf>
    <xf numFmtId="0" fontId="20" fillId="19" borderId="85" xfId="8" applyFont="1" applyFill="1" applyBorder="1" applyAlignment="1">
      <alignment horizontal="center"/>
    </xf>
    <xf numFmtId="0" fontId="20" fillId="19" borderId="80" xfId="8" applyFont="1" applyFill="1" applyBorder="1" applyAlignment="1">
      <alignment horizontal="center"/>
    </xf>
    <xf numFmtId="0" fontId="20" fillId="19" borderId="90" xfId="8" applyFont="1" applyFill="1" applyBorder="1" applyAlignment="1">
      <alignment horizontal="justify"/>
    </xf>
    <xf numFmtId="0" fontId="20" fillId="19" borderId="90" xfId="8" applyFont="1" applyFill="1" applyBorder="1" applyAlignment="1">
      <alignment horizontal="justify" vertical="center"/>
    </xf>
    <xf numFmtId="10" fontId="37" fillId="0" borderId="13" xfId="3" applyNumberFormat="1" applyFont="1" applyBorder="1" applyAlignment="1">
      <alignment horizontal="center"/>
    </xf>
    <xf numFmtId="10" fontId="37" fillId="0" borderId="1" xfId="3" applyNumberFormat="1" applyFont="1" applyBorder="1" applyAlignment="1">
      <alignment horizontal="center"/>
    </xf>
    <xf numFmtId="10" fontId="37" fillId="0" borderId="27" xfId="3" applyNumberFormat="1" applyFont="1" applyBorder="1" applyAlignment="1">
      <alignment horizontal="center"/>
    </xf>
    <xf numFmtId="10" fontId="37" fillId="0" borderId="11" xfId="3" applyNumberFormat="1" applyFont="1" applyBorder="1" applyAlignment="1">
      <alignment horizontal="center"/>
    </xf>
    <xf numFmtId="10" fontId="37" fillId="6" borderId="63" xfId="3" applyNumberFormat="1" applyFont="1" applyFill="1" applyBorder="1" applyAlignment="1">
      <alignment horizontal="center"/>
    </xf>
    <xf numFmtId="10" fontId="37" fillId="6" borderId="1" xfId="3" applyNumberFormat="1" applyFont="1" applyFill="1" applyBorder="1" applyAlignment="1">
      <alignment horizontal="center"/>
    </xf>
    <xf numFmtId="10" fontId="37" fillId="6" borderId="27" xfId="3" applyNumberFormat="1" applyFont="1" applyFill="1" applyBorder="1" applyAlignment="1">
      <alignment horizontal="center"/>
    </xf>
    <xf numFmtId="9" fontId="37" fillId="6" borderId="63" xfId="19" applyFont="1" applyFill="1" applyBorder="1" applyAlignment="1">
      <alignment horizontal="center"/>
    </xf>
    <xf numFmtId="9" fontId="37" fillId="6" borderId="1" xfId="19" applyFont="1" applyFill="1" applyBorder="1" applyAlignment="1">
      <alignment horizontal="center"/>
    </xf>
    <xf numFmtId="9" fontId="37" fillId="6" borderId="11" xfId="19" applyFont="1" applyFill="1" applyBorder="1" applyAlignment="1">
      <alignment horizontal="center"/>
    </xf>
    <xf numFmtId="10" fontId="10" fillId="0" borderId="0" xfId="8" applyNumberFormat="1" applyAlignment="1">
      <alignment horizontal="center"/>
    </xf>
    <xf numFmtId="0" fontId="141" fillId="0" borderId="2" xfId="0" applyFont="1" applyBorder="1" applyAlignment="1">
      <alignment horizontal="justify" vertical="center" wrapText="1"/>
    </xf>
    <xf numFmtId="0" fontId="10" fillId="0" borderId="0" xfId="8" applyAlignment="1">
      <alignment wrapText="1"/>
    </xf>
    <xf numFmtId="0" fontId="19" fillId="0" borderId="0" xfId="8" applyFont="1"/>
    <xf numFmtId="0" fontId="12" fillId="0" borderId="0" xfId="8" applyFont="1" applyAlignment="1">
      <alignment horizontal="center"/>
    </xf>
    <xf numFmtId="0" fontId="12" fillId="0" borderId="0" xfId="8" applyFont="1" applyAlignment="1">
      <alignment horizontal="center" wrapText="1"/>
    </xf>
    <xf numFmtId="10" fontId="47" fillId="0" borderId="0" xfId="8" applyNumberFormat="1" applyFont="1" applyAlignment="1">
      <alignment vertical="center"/>
    </xf>
    <xf numFmtId="10" fontId="19" fillId="0" borderId="0" xfId="3" applyNumberFormat="1" applyFont="1" applyFill="1" applyBorder="1" applyAlignment="1">
      <alignment horizontal="center"/>
    </xf>
    <xf numFmtId="10" fontId="17" fillId="0" borderId="0" xfId="3" applyNumberFormat="1" applyFont="1" applyFill="1" applyBorder="1" applyAlignment="1">
      <alignment horizontal="center"/>
    </xf>
    <xf numFmtId="0" fontId="47" fillId="0" borderId="0" xfId="8" applyFont="1" applyAlignment="1">
      <alignment vertical="center"/>
    </xf>
    <xf numFmtId="0" fontId="19" fillId="0" borderId="0" xfId="8" applyFont="1" applyAlignment="1">
      <alignment horizontal="center"/>
    </xf>
    <xf numFmtId="0" fontId="19" fillId="0" borderId="0" xfId="8" applyFont="1" applyAlignment="1">
      <alignment vertical="center"/>
    </xf>
    <xf numFmtId="2" fontId="19" fillId="0" borderId="0" xfId="8" applyNumberFormat="1" applyFont="1" applyAlignment="1">
      <alignment horizontal="center"/>
    </xf>
    <xf numFmtId="0" fontId="12" fillId="0" borderId="0" xfId="8" applyFont="1" applyAlignment="1">
      <alignment wrapText="1"/>
    </xf>
    <xf numFmtId="9" fontId="44" fillId="6" borderId="0" xfId="12" applyNumberFormat="1" applyFont="1" applyFill="1" applyBorder="1" applyAlignment="1">
      <alignment horizontal="center"/>
    </xf>
    <xf numFmtId="9" fontId="44" fillId="6" borderId="0" xfId="19" applyFont="1" applyFill="1" applyBorder="1" applyAlignment="1">
      <alignment horizontal="center"/>
    </xf>
    <xf numFmtId="0" fontId="127" fillId="6" borderId="19" xfId="35" applyFont="1" applyFill="1" applyBorder="1" applyAlignment="1">
      <alignment horizontal="center" vertical="center"/>
    </xf>
    <xf numFmtId="0" fontId="24" fillId="58" borderId="73" xfId="0" applyFont="1" applyFill="1" applyBorder="1" applyAlignment="1">
      <alignment horizontal="center" vertical="center" wrapText="1" readingOrder="1"/>
    </xf>
    <xf numFmtId="0" fontId="17" fillId="58" borderId="73" xfId="0" applyFont="1" applyFill="1" applyBorder="1" applyAlignment="1">
      <alignment horizontal="center" vertical="center" wrapText="1" readingOrder="1"/>
    </xf>
    <xf numFmtId="0" fontId="97" fillId="0" borderId="0" xfId="35" applyFont="1"/>
    <xf numFmtId="0" fontId="97" fillId="0" borderId="3" xfId="35" applyFont="1" applyBorder="1" applyAlignment="1">
      <alignment vertical="center"/>
    </xf>
    <xf numFmtId="0" fontId="10" fillId="0" borderId="45" xfId="1" applyBorder="1" applyAlignment="1">
      <alignment horizontal="center" vertical="center" wrapText="1"/>
    </xf>
    <xf numFmtId="0" fontId="10" fillId="0" borderId="4" xfId="1" applyBorder="1" applyAlignment="1">
      <alignment horizontal="center" vertical="center" wrapText="1"/>
    </xf>
    <xf numFmtId="0" fontId="10" fillId="0" borderId="84" xfId="1" applyBorder="1" applyAlignment="1">
      <alignment vertical="center"/>
    </xf>
    <xf numFmtId="0" fontId="17" fillId="54" borderId="33" xfId="35" applyFont="1" applyFill="1" applyBorder="1" applyAlignment="1">
      <alignment horizontal="center" vertical="center"/>
    </xf>
    <xf numFmtId="10" fontId="17" fillId="54" borderId="70" xfId="35" applyNumberFormat="1" applyFont="1" applyFill="1" applyBorder="1" applyAlignment="1">
      <alignment horizontal="center"/>
    </xf>
    <xf numFmtId="10" fontId="70" fillId="6" borderId="2" xfId="3" applyNumberFormat="1" applyFont="1" applyFill="1" applyBorder="1" applyAlignment="1">
      <alignment horizontal="center" vertical="center"/>
    </xf>
    <xf numFmtId="10" fontId="91" fillId="6" borderId="5" xfId="3" applyNumberFormat="1" applyFont="1" applyFill="1" applyBorder="1" applyAlignment="1">
      <alignment horizontal="center" vertical="center"/>
    </xf>
    <xf numFmtId="0" fontId="97" fillId="0" borderId="83" xfId="35" applyFont="1" applyBorder="1" applyAlignment="1">
      <alignment vertical="center"/>
    </xf>
    <xf numFmtId="0" fontId="0" fillId="39" borderId="2" xfId="1" applyFont="1" applyFill="1" applyBorder="1" applyAlignment="1">
      <alignment horizontal="center" vertical="center" wrapText="1"/>
    </xf>
    <xf numFmtId="0" fontId="55" fillId="6" borderId="79" xfId="1" applyFont="1" applyFill="1" applyBorder="1" applyAlignment="1">
      <alignment horizontal="justify" vertical="center" wrapText="1"/>
    </xf>
    <xf numFmtId="0" fontId="55" fillId="6" borderId="3" xfId="1" applyFont="1" applyFill="1" applyBorder="1" applyAlignment="1">
      <alignment horizontal="justify" vertical="center" wrapText="1"/>
    </xf>
    <xf numFmtId="0" fontId="70" fillId="3" borderId="79" xfId="1" applyFont="1" applyFill="1" applyBorder="1" applyAlignment="1">
      <alignment horizontal="justify" vertical="center" wrapText="1"/>
    </xf>
    <xf numFmtId="165" fontId="76" fillId="7" borderId="79" xfId="1" applyNumberFormat="1" applyFont="1" applyFill="1" applyBorder="1" applyAlignment="1">
      <alignment horizontal="center" vertical="center" wrapText="1"/>
    </xf>
    <xf numFmtId="9" fontId="10" fillId="7" borderId="79" xfId="1" applyNumberFormat="1" applyFill="1" applyBorder="1" applyAlignment="1">
      <alignment horizontal="center" vertical="center" wrapText="1"/>
    </xf>
    <xf numFmtId="0" fontId="22" fillId="6" borderId="87" xfId="1" applyFont="1" applyFill="1" applyBorder="1" applyAlignment="1">
      <alignment vertical="center" wrapText="1"/>
    </xf>
    <xf numFmtId="0" fontId="22" fillId="6" borderId="8" xfId="1" applyFont="1" applyFill="1" applyBorder="1" applyAlignment="1">
      <alignment vertical="center" wrapText="1"/>
    </xf>
    <xf numFmtId="0" fontId="22" fillId="6" borderId="84" xfId="1" applyFont="1" applyFill="1" applyBorder="1" applyAlignment="1">
      <alignment vertical="center" wrapText="1"/>
    </xf>
    <xf numFmtId="1" fontId="22" fillId="6" borderId="79" xfId="8" applyNumberFormat="1" applyFont="1" applyFill="1" applyBorder="1" applyAlignment="1">
      <alignment horizontal="center" vertical="center"/>
    </xf>
    <xf numFmtId="1" fontId="19" fillId="6" borderId="79" xfId="8" applyNumberFormat="1" applyFont="1" applyFill="1" applyBorder="1" applyAlignment="1">
      <alignment horizontal="center" vertical="center"/>
    </xf>
    <xf numFmtId="1" fontId="19" fillId="6" borderId="10" xfId="8" applyNumberFormat="1" applyFont="1" applyFill="1" applyBorder="1" applyAlignment="1">
      <alignment horizontal="center" vertical="center"/>
    </xf>
    <xf numFmtId="10" fontId="43" fillId="6" borderId="10" xfId="3" applyNumberFormat="1" applyFont="1" applyFill="1" applyBorder="1" applyAlignment="1">
      <alignment horizontal="center"/>
    </xf>
    <xf numFmtId="0" fontId="147" fillId="18" borderId="17" xfId="8" applyFont="1" applyFill="1" applyBorder="1" applyAlignment="1">
      <alignment horizontal="center" vertical="center"/>
    </xf>
    <xf numFmtId="0" fontId="147" fillId="18" borderId="5" xfId="8" applyFont="1" applyFill="1" applyBorder="1" applyAlignment="1">
      <alignment horizontal="center" vertical="center"/>
    </xf>
    <xf numFmtId="0" fontId="147" fillId="18" borderId="28" xfId="8" applyFont="1" applyFill="1" applyBorder="1" applyAlignment="1">
      <alignment horizontal="center" vertical="center"/>
    </xf>
    <xf numFmtId="0" fontId="19" fillId="13" borderId="35" xfId="8" applyFont="1" applyFill="1" applyBorder="1" applyAlignment="1">
      <alignment horizontal="justify" vertical="center"/>
    </xf>
    <xf numFmtId="9" fontId="97" fillId="0" borderId="80" xfId="20" applyFont="1" applyBorder="1" applyAlignment="1">
      <alignment horizontal="center" vertical="center"/>
    </xf>
    <xf numFmtId="9" fontId="10" fillId="0" borderId="0" xfId="20" applyFont="1" applyAlignment="1">
      <alignment vertical="center"/>
    </xf>
    <xf numFmtId="0" fontId="128" fillId="35" borderId="35" xfId="27" applyFont="1" applyFill="1" applyBorder="1" applyAlignment="1">
      <alignment horizontal="center" vertical="center"/>
    </xf>
    <xf numFmtId="0" fontId="128" fillId="35" borderId="62" xfId="27" applyFont="1" applyFill="1" applyBorder="1" applyAlignment="1">
      <alignment horizontal="center" vertical="center"/>
    </xf>
    <xf numFmtId="0" fontId="19" fillId="6" borderId="55" xfId="27" applyFont="1" applyFill="1" applyBorder="1" applyAlignment="1">
      <alignment horizontal="center" vertical="center"/>
    </xf>
    <xf numFmtId="10" fontId="148" fillId="0" borderId="2" xfId="16" applyNumberFormat="1" applyFont="1" applyBorder="1" applyAlignment="1">
      <alignment horizontal="center" vertical="center"/>
    </xf>
    <xf numFmtId="10" fontId="149" fillId="0" borderId="2" xfId="10" applyNumberFormat="1" applyFont="1" applyBorder="1" applyAlignment="1">
      <alignment horizontal="center" vertical="center"/>
    </xf>
    <xf numFmtId="10" fontId="149" fillId="0" borderId="0" xfId="10" applyNumberFormat="1" applyFont="1" applyAlignment="1">
      <alignment horizontal="center" vertical="center"/>
    </xf>
    <xf numFmtId="0" fontId="63" fillId="0" borderId="79" xfId="0" applyFont="1" applyBorder="1" applyAlignment="1">
      <alignment horizontal="center" vertical="center"/>
    </xf>
    <xf numFmtId="0" fontId="10" fillId="6" borderId="0" xfId="0" applyFont="1" applyFill="1" applyAlignment="1">
      <alignment horizontal="center" vertical="center"/>
    </xf>
    <xf numFmtId="0" fontId="10" fillId="6" borderId="0" xfId="0" applyFont="1" applyFill="1" applyAlignment="1">
      <alignment vertical="center"/>
    </xf>
    <xf numFmtId="0" fontId="97" fillId="13" borderId="0" xfId="35" applyFont="1" applyFill="1"/>
    <xf numFmtId="10" fontId="119" fillId="0" borderId="49" xfId="1" applyNumberFormat="1" applyFont="1" applyBorder="1" applyAlignment="1">
      <alignment horizontal="justify" vertical="center" wrapText="1"/>
    </xf>
    <xf numFmtId="0" fontId="115" fillId="32" borderId="33" xfId="38" applyFont="1" applyFill="1" applyBorder="1" applyAlignment="1">
      <alignment horizontal="center" vertical="center"/>
    </xf>
    <xf numFmtId="0" fontId="115" fillId="32" borderId="70" xfId="38" applyFont="1" applyFill="1" applyBorder="1" applyAlignment="1">
      <alignment horizontal="center" vertical="center"/>
    </xf>
    <xf numFmtId="0" fontId="150" fillId="0" borderId="0" xfId="35" applyFont="1"/>
    <xf numFmtId="0" fontId="133" fillId="6" borderId="79" xfId="35" applyFont="1" applyFill="1" applyBorder="1" applyAlignment="1">
      <alignment horizontal="justify" vertical="center"/>
    </xf>
    <xf numFmtId="10" fontId="23" fillId="6" borderId="2" xfId="3" applyNumberFormat="1" applyFont="1" applyFill="1" applyBorder="1" applyAlignment="1">
      <alignment horizontal="center" vertical="center"/>
    </xf>
    <xf numFmtId="0" fontId="22" fillId="6" borderId="79" xfId="1" applyFont="1" applyFill="1" applyBorder="1" applyAlignment="1">
      <alignment horizontal="justify" vertical="center" wrapText="1"/>
    </xf>
    <xf numFmtId="0" fontId="25" fillId="6" borderId="79" xfId="1" applyFont="1" applyFill="1" applyBorder="1" applyAlignment="1">
      <alignment horizontal="justify" vertical="center" wrapText="1"/>
    </xf>
    <xf numFmtId="0" fontId="23" fillId="6" borderId="80" xfId="1" applyFont="1" applyFill="1" applyBorder="1" applyAlignment="1">
      <alignment horizontal="justify" vertical="center" wrapText="1"/>
    </xf>
    <xf numFmtId="0" fontId="23" fillId="6" borderId="79" xfId="1" applyFont="1" applyFill="1" applyBorder="1" applyAlignment="1">
      <alignment horizontal="justify" vertical="center" wrapText="1"/>
    </xf>
    <xf numFmtId="0" fontId="79" fillId="6" borderId="79" xfId="1" applyFont="1" applyFill="1" applyBorder="1" applyAlignment="1">
      <alignment horizontal="justify" vertical="center" wrapText="1"/>
    </xf>
    <xf numFmtId="9" fontId="10" fillId="42" borderId="79" xfId="1" applyNumberFormat="1" applyFill="1" applyBorder="1" applyAlignment="1">
      <alignment horizontal="center" vertical="center" wrapText="1"/>
    </xf>
    <xf numFmtId="9" fontId="21" fillId="7" borderId="80" xfId="1" applyNumberFormat="1" applyFont="1" applyFill="1" applyBorder="1" applyAlignment="1">
      <alignment horizontal="center" vertical="center" wrapText="1"/>
    </xf>
    <xf numFmtId="9" fontId="21" fillId="7" borderId="79" xfId="1" applyNumberFormat="1" applyFont="1" applyFill="1" applyBorder="1" applyAlignment="1">
      <alignment horizontal="center" vertical="center" wrapText="1"/>
    </xf>
    <xf numFmtId="9" fontId="72" fillId="41" borderId="79" xfId="1" applyNumberFormat="1" applyFont="1" applyFill="1" applyBorder="1" applyAlignment="1">
      <alignment horizontal="center" vertical="center" wrapText="1"/>
    </xf>
    <xf numFmtId="0" fontId="12" fillId="6" borderId="79" xfId="1" applyFont="1" applyFill="1" applyBorder="1" applyAlignment="1">
      <alignment horizontal="justify" vertical="center" wrapText="1"/>
    </xf>
    <xf numFmtId="9" fontId="26" fillId="40" borderId="79" xfId="1" applyNumberFormat="1" applyFont="1" applyFill="1" applyBorder="1" applyAlignment="1">
      <alignment horizontal="center" vertical="center" wrapText="1"/>
    </xf>
    <xf numFmtId="0" fontId="22" fillId="6" borderId="80" xfId="1" applyFont="1" applyFill="1" applyBorder="1" applyAlignment="1">
      <alignment horizontal="justify" vertical="center" wrapText="1"/>
    </xf>
    <xf numFmtId="9" fontId="10" fillId="40" borderId="80" xfId="1" applyNumberFormat="1" applyFill="1" applyBorder="1" applyAlignment="1">
      <alignment horizontal="center" vertical="center" wrapText="1"/>
    </xf>
    <xf numFmtId="0" fontId="10" fillId="6" borderId="80" xfId="1" applyFill="1" applyBorder="1" applyAlignment="1">
      <alignment horizontal="justify" vertical="center"/>
    </xf>
    <xf numFmtId="9" fontId="16" fillId="40" borderId="80" xfId="1" applyNumberFormat="1" applyFont="1" applyFill="1" applyBorder="1" applyAlignment="1">
      <alignment horizontal="center" vertical="center" wrapText="1"/>
    </xf>
    <xf numFmtId="0" fontId="10" fillId="6" borderId="0" xfId="1" applyFill="1" applyAlignment="1">
      <alignment horizontal="justify" vertical="center" wrapText="1"/>
    </xf>
    <xf numFmtId="0" fontId="159" fillId="6" borderId="14" xfId="0" applyFont="1" applyFill="1" applyBorder="1" applyAlignment="1">
      <alignment horizontal="center" vertical="center" wrapText="1"/>
    </xf>
    <xf numFmtId="0" fontId="160" fillId="60" borderId="47" xfId="0" applyFont="1" applyFill="1" applyBorder="1" applyAlignment="1">
      <alignment horizontal="center" vertical="center" wrapText="1"/>
    </xf>
    <xf numFmtId="0" fontId="161" fillId="6" borderId="79" xfId="0" applyFont="1" applyFill="1" applyBorder="1" applyAlignment="1">
      <alignment horizontal="center" wrapText="1"/>
    </xf>
    <xf numFmtId="0" fontId="162" fillId="13" borderId="79" xfId="0" applyFont="1" applyFill="1" applyBorder="1" applyAlignment="1">
      <alignment horizontal="center" wrapText="1"/>
    </xf>
    <xf numFmtId="0" fontId="163" fillId="19" borderId="79" xfId="0" applyFont="1" applyFill="1" applyBorder="1" applyAlignment="1">
      <alignment horizontal="center" wrapText="1"/>
    </xf>
    <xf numFmtId="0" fontId="162" fillId="13" borderId="79" xfId="0" applyFont="1" applyFill="1" applyBorder="1" applyAlignment="1">
      <alignment horizontal="center" vertical="center" wrapText="1"/>
    </xf>
    <xf numFmtId="0" fontId="157" fillId="6" borderId="33" xfId="0" applyFont="1" applyFill="1" applyBorder="1" applyAlignment="1">
      <alignment horizontal="center" wrapText="1"/>
    </xf>
    <xf numFmtId="0" fontId="160" fillId="13" borderId="33" xfId="0" applyFont="1" applyFill="1" applyBorder="1" applyAlignment="1">
      <alignment horizontal="center" wrapText="1"/>
    </xf>
    <xf numFmtId="0" fontId="163" fillId="19" borderId="70" xfId="0" applyFont="1" applyFill="1" applyBorder="1" applyAlignment="1">
      <alignment horizontal="center" wrapText="1"/>
    </xf>
    <xf numFmtId="0" fontId="168" fillId="0" borderId="79" xfId="0" applyFont="1" applyBorder="1" applyAlignment="1">
      <alignment horizontal="justify" vertical="center"/>
    </xf>
    <xf numFmtId="0" fontId="146" fillId="0" borderId="79" xfId="0" applyFont="1" applyBorder="1" applyAlignment="1">
      <alignment horizontal="center" vertical="center"/>
    </xf>
    <xf numFmtId="0" fontId="169" fillId="0" borderId="0" xfId="0" applyFont="1" applyAlignment="1">
      <alignment horizontal="left" vertical="center" wrapText="1"/>
    </xf>
    <xf numFmtId="0" fontId="146" fillId="0" borderId="79" xfId="0" applyFont="1" applyBorder="1" applyAlignment="1">
      <alignment horizontal="justify" vertical="center"/>
    </xf>
    <xf numFmtId="0" fontId="170" fillId="0" borderId="0" xfId="0" applyFont="1" applyAlignment="1">
      <alignment horizontal="left" vertical="center" wrapText="1"/>
    </xf>
    <xf numFmtId="0" fontId="169" fillId="0" borderId="0" xfId="0" applyFont="1" applyAlignment="1">
      <alignment vertical="center" wrapText="1"/>
    </xf>
    <xf numFmtId="0" fontId="171" fillId="30" borderId="0" xfId="0" applyFont="1" applyFill="1" applyAlignment="1">
      <alignment horizontal="left" vertical="center" wrapText="1"/>
    </xf>
    <xf numFmtId="0" fontId="168" fillId="61" borderId="79" xfId="0" applyFont="1" applyFill="1" applyBorder="1" applyAlignment="1">
      <alignment horizontal="justify" vertical="center"/>
    </xf>
    <xf numFmtId="0" fontId="172" fillId="61" borderId="79" xfId="0" applyFont="1" applyFill="1" applyBorder="1" applyAlignment="1">
      <alignment horizontal="center" vertical="center" wrapText="1"/>
    </xf>
    <xf numFmtId="0" fontId="146" fillId="61" borderId="79" xfId="0" applyFont="1" applyFill="1" applyBorder="1" applyAlignment="1">
      <alignment horizontal="left" vertical="center"/>
    </xf>
    <xf numFmtId="0" fontId="146" fillId="61" borderId="79" xfId="0" applyFont="1" applyFill="1" applyBorder="1" applyAlignment="1">
      <alignment horizontal="center" vertical="center"/>
    </xf>
    <xf numFmtId="0" fontId="173" fillId="0" borderId="0" xfId="0" applyFont="1" applyAlignment="1">
      <alignment vertical="center" wrapText="1"/>
    </xf>
    <xf numFmtId="0" fontId="174" fillId="0" borderId="0" xfId="0" applyFont="1" applyAlignment="1">
      <alignment horizontal="left" vertical="center" indent="1"/>
    </xf>
    <xf numFmtId="0" fontId="174" fillId="0" borderId="0" xfId="0" applyFont="1" applyAlignment="1">
      <alignment horizontal="left" vertical="center" wrapText="1"/>
    </xf>
    <xf numFmtId="0" fontId="176" fillId="0" borderId="79" xfId="0" applyFont="1" applyBorder="1" applyAlignment="1">
      <alignment horizontal="justify" vertical="center"/>
    </xf>
    <xf numFmtId="0" fontId="177" fillId="0" borderId="0" xfId="0" applyFont="1" applyAlignment="1">
      <alignment horizontal="left" vertical="center" wrapText="1"/>
    </xf>
    <xf numFmtId="0" fontId="146" fillId="0" borderId="79" xfId="0" applyFont="1" applyBorder="1" applyAlignment="1">
      <alignment horizontal="left" vertical="center"/>
    </xf>
    <xf numFmtId="0" fontId="178" fillId="0" borderId="0" xfId="0" applyFont="1" applyAlignment="1">
      <alignment horizontal="left" vertical="center" wrapText="1"/>
    </xf>
    <xf numFmtId="0" fontId="176" fillId="32" borderId="79" xfId="0" applyFont="1" applyFill="1" applyBorder="1" applyAlignment="1">
      <alignment horizontal="justify" vertical="center"/>
    </xf>
    <xf numFmtId="0" fontId="146" fillId="32" borderId="79" xfId="0" applyFont="1" applyFill="1" applyBorder="1" applyAlignment="1">
      <alignment horizontal="center" vertical="center"/>
    </xf>
    <xf numFmtId="0" fontId="179" fillId="30" borderId="79" xfId="0" applyFont="1" applyFill="1" applyBorder="1" applyAlignment="1">
      <alignment horizontal="justify" vertical="center"/>
    </xf>
    <xf numFmtId="0" fontId="180" fillId="30" borderId="0" xfId="0" applyFont="1" applyFill="1" applyAlignment="1">
      <alignment horizontal="left" vertical="center" wrapText="1"/>
    </xf>
    <xf numFmtId="0" fontId="178" fillId="0" borderId="0" xfId="0" applyFont="1"/>
    <xf numFmtId="0" fontId="47" fillId="0" borderId="99" xfId="1" applyFont="1" applyBorder="1"/>
    <xf numFmtId="0" fontId="118" fillId="0" borderId="29" xfId="1" applyFont="1" applyBorder="1" applyAlignment="1">
      <alignment horizontal="center" vertical="center" wrapText="1"/>
    </xf>
    <xf numFmtId="0" fontId="47" fillId="0" borderId="100" xfId="1" applyFont="1" applyBorder="1"/>
    <xf numFmtId="10" fontId="10" fillId="6" borderId="101" xfId="1" applyNumberFormat="1" applyFill="1" applyBorder="1" applyAlignment="1">
      <alignment horizontal="center" vertical="center"/>
    </xf>
    <xf numFmtId="0" fontId="47" fillId="0" borderId="102" xfId="1" applyFont="1" applyBorder="1"/>
    <xf numFmtId="0" fontId="97" fillId="0" borderId="37" xfId="35" applyFont="1" applyBorder="1" applyAlignment="1">
      <alignment horizontal="center" vertical="center"/>
    </xf>
    <xf numFmtId="10" fontId="119" fillId="6" borderId="0" xfId="3" applyNumberFormat="1" applyFont="1" applyFill="1" applyBorder="1" applyAlignment="1">
      <alignment horizontal="justify" vertical="center" wrapText="1"/>
    </xf>
    <xf numFmtId="0" fontId="152" fillId="0" borderId="0" xfId="35" applyFont="1"/>
    <xf numFmtId="0" fontId="22" fillId="54" borderId="33" xfId="35" applyFont="1" applyFill="1" applyBorder="1" applyAlignment="1">
      <alignment horizontal="center" vertical="center"/>
    </xf>
    <xf numFmtId="0" fontId="10" fillId="6" borderId="83" xfId="1" applyFill="1" applyBorder="1" applyAlignment="1">
      <alignment horizontal="justify" vertical="center" wrapText="1"/>
    </xf>
    <xf numFmtId="0" fontId="20" fillId="27" borderId="79" xfId="17" applyFont="1" applyFill="1" applyBorder="1" applyAlignment="1">
      <alignment horizontal="center" vertical="center" wrapText="1"/>
    </xf>
    <xf numFmtId="0" fontId="22" fillId="27" borderId="79" xfId="17" applyFont="1" applyFill="1" applyBorder="1" applyAlignment="1">
      <alignment horizontal="center" vertical="center" wrapText="1"/>
    </xf>
    <xf numFmtId="0" fontId="23" fillId="48" borderId="79" xfId="0" applyFont="1" applyFill="1" applyBorder="1" applyAlignment="1">
      <alignment vertical="center" wrapText="1"/>
    </xf>
    <xf numFmtId="0" fontId="17" fillId="36" borderId="84" xfId="17" applyFont="1" applyFill="1" applyBorder="1" applyAlignment="1">
      <alignment horizontal="center" vertical="center" wrapText="1"/>
    </xf>
    <xf numFmtId="0" fontId="17" fillId="36" borderId="79" xfId="17" applyFont="1" applyFill="1" applyBorder="1" applyAlignment="1">
      <alignment horizontal="center" vertical="center" wrapText="1"/>
    </xf>
    <xf numFmtId="0" fontId="58" fillId="0" borderId="0" xfId="17" applyFont="1" applyAlignment="1">
      <alignment horizontal="center" vertical="center"/>
    </xf>
    <xf numFmtId="0" fontId="10" fillId="0" borderId="0" xfId="17"/>
    <xf numFmtId="0" fontId="23" fillId="48" borderId="79" xfId="0" applyFont="1" applyFill="1" applyBorder="1" applyAlignment="1">
      <alignment horizontal="justify" vertical="center" wrapText="1"/>
    </xf>
    <xf numFmtId="0" fontId="22" fillId="48" borderId="79" xfId="0" applyFont="1" applyFill="1" applyBorder="1" applyAlignment="1">
      <alignment vertical="center" wrapText="1"/>
    </xf>
    <xf numFmtId="0" fontId="20" fillId="17" borderId="80" xfId="17" applyFont="1" applyFill="1" applyBorder="1" applyAlignment="1">
      <alignment wrapText="1"/>
    </xf>
    <xf numFmtId="0" fontId="17" fillId="23" borderId="79" xfId="17" applyFont="1" applyFill="1" applyBorder="1" applyAlignment="1">
      <alignment horizontal="center" wrapText="1"/>
    </xf>
    <xf numFmtId="0" fontId="10" fillId="0" borderId="79" xfId="17" applyBorder="1"/>
    <xf numFmtId="0" fontId="12" fillId="32" borderId="79" xfId="17" applyFont="1" applyFill="1" applyBorder="1" applyAlignment="1">
      <alignment horizontal="center" vertical="center" wrapText="1"/>
    </xf>
    <xf numFmtId="0" fontId="44" fillId="32" borderId="79" xfId="17" applyFont="1" applyFill="1" applyBorder="1" applyAlignment="1">
      <alignment horizontal="center"/>
    </xf>
    <xf numFmtId="0" fontId="17" fillId="32" borderId="79" xfId="17" applyFont="1" applyFill="1" applyBorder="1" applyAlignment="1">
      <alignment horizontal="center" wrapText="1"/>
    </xf>
    <xf numFmtId="0" fontId="10" fillId="0" borderId="0" xfId="0" applyFont="1"/>
    <xf numFmtId="0" fontId="12" fillId="0" borderId="0" xfId="0" applyFont="1" applyAlignment="1">
      <alignment horizontal="center" wrapText="1"/>
    </xf>
    <xf numFmtId="0" fontId="63" fillId="35" borderId="35" xfId="0" applyFont="1" applyFill="1" applyBorder="1" applyAlignment="1">
      <alignment horizontal="center"/>
    </xf>
    <xf numFmtId="0" fontId="10" fillId="13" borderId="6" xfId="0" applyFont="1" applyFill="1" applyBorder="1" applyAlignment="1">
      <alignment horizontal="justify" vertical="center"/>
    </xf>
    <xf numFmtId="0" fontId="10" fillId="0" borderId="94" xfId="1" applyBorder="1" applyAlignment="1">
      <alignment horizontal="center" vertical="center" wrapText="1"/>
    </xf>
    <xf numFmtId="9" fontId="55" fillId="42" borderId="79" xfId="1" applyNumberFormat="1" applyFont="1" applyFill="1" applyBorder="1" applyAlignment="1">
      <alignment horizontal="center" vertical="center" wrapText="1"/>
    </xf>
    <xf numFmtId="0" fontId="10" fillId="0" borderId="0" xfId="1" applyAlignment="1">
      <alignment horizontal="center" vertical="center"/>
    </xf>
    <xf numFmtId="10" fontId="10" fillId="0" borderId="0" xfId="1" applyNumberFormat="1" applyAlignment="1">
      <alignment horizontal="center" vertical="center"/>
    </xf>
    <xf numFmtId="9" fontId="10" fillId="0" borderId="83" xfId="1" applyNumberFormat="1" applyBorder="1" applyAlignment="1">
      <alignment horizontal="center" vertical="center" wrapText="1"/>
    </xf>
    <xf numFmtId="0" fontId="10" fillId="6" borderId="80" xfId="0" applyFont="1" applyFill="1" applyBorder="1" applyAlignment="1">
      <alignment horizontal="justify" vertical="center" wrapText="1"/>
    </xf>
    <xf numFmtId="10" fontId="23" fillId="6" borderId="80" xfId="3" applyNumberFormat="1" applyFont="1" applyFill="1" applyBorder="1" applyAlignment="1">
      <alignment horizontal="center" vertical="center"/>
    </xf>
    <xf numFmtId="9" fontId="55" fillId="0" borderId="79" xfId="1" applyNumberFormat="1" applyFont="1" applyBorder="1" applyAlignment="1">
      <alignment horizontal="center" vertical="center" wrapText="1"/>
    </xf>
    <xf numFmtId="0" fontId="13" fillId="3" borderId="3" xfId="1" applyFont="1" applyFill="1" applyBorder="1" applyAlignment="1">
      <alignment vertical="center" wrapText="1"/>
    </xf>
    <xf numFmtId="0" fontId="13" fillId="3" borderId="79" xfId="1" applyFont="1" applyFill="1" applyBorder="1" applyAlignment="1">
      <alignment vertical="center" wrapText="1"/>
    </xf>
    <xf numFmtId="0" fontId="22" fillId="3" borderId="2" xfId="1" applyFont="1" applyFill="1" applyBorder="1" applyAlignment="1">
      <alignment horizontal="justify" vertical="center" wrapText="1"/>
    </xf>
    <xf numFmtId="9" fontId="55" fillId="39" borderId="2" xfId="1" applyNumberFormat="1" applyFont="1" applyFill="1" applyBorder="1" applyAlignment="1">
      <alignment horizontal="center" vertical="center" wrapText="1"/>
    </xf>
    <xf numFmtId="9" fontId="55" fillId="39" borderId="79" xfId="19" applyFont="1" applyFill="1" applyBorder="1" applyAlignment="1">
      <alignment horizontal="center" vertical="center" wrapText="1"/>
    </xf>
    <xf numFmtId="171" fontId="47" fillId="6" borderId="79" xfId="31" applyNumberFormat="1" applyFont="1" applyFill="1" applyBorder="1" applyAlignment="1">
      <alignment horizontal="center" vertical="center" wrapText="1"/>
    </xf>
    <xf numFmtId="0" fontId="19" fillId="6" borderId="0" xfId="17" applyFont="1" applyFill="1" applyAlignment="1">
      <alignment vertical="center"/>
    </xf>
    <xf numFmtId="0" fontId="19" fillId="28" borderId="0" xfId="17" applyFont="1" applyFill="1" applyAlignment="1">
      <alignment vertical="center"/>
    </xf>
    <xf numFmtId="0" fontId="12" fillId="6" borderId="0" xfId="17" applyFont="1" applyFill="1" applyAlignment="1">
      <alignment vertical="center" wrapText="1"/>
    </xf>
    <xf numFmtId="0" fontId="12" fillId="28" borderId="0" xfId="17" applyFont="1" applyFill="1" applyAlignment="1">
      <alignment vertical="center" wrapText="1"/>
    </xf>
    <xf numFmtId="0" fontId="118" fillId="6" borderId="57" xfId="0" applyFont="1" applyFill="1" applyBorder="1" applyAlignment="1">
      <alignment horizontal="center" vertical="center" wrapText="1"/>
    </xf>
    <xf numFmtId="0" fontId="118" fillId="28" borderId="57" xfId="0" applyFont="1" applyFill="1" applyBorder="1" applyAlignment="1">
      <alignment horizontal="center" vertical="center" wrapText="1"/>
    </xf>
    <xf numFmtId="0" fontId="17" fillId="6" borderId="83" xfId="0" applyFont="1" applyFill="1" applyBorder="1" applyAlignment="1">
      <alignment horizontal="center" vertical="center" wrapText="1"/>
    </xf>
    <xf numFmtId="0" fontId="17" fillId="28" borderId="83" xfId="0" applyFont="1" applyFill="1" applyBorder="1" applyAlignment="1">
      <alignment horizontal="center" vertical="center" wrapText="1"/>
    </xf>
    <xf numFmtId="0" fontId="21" fillId="6" borderId="0" xfId="17" applyFont="1" applyFill="1" applyAlignment="1">
      <alignment vertical="center"/>
    </xf>
    <xf numFmtId="0" fontId="21" fillId="28" borderId="0" xfId="17" applyFont="1" applyFill="1" applyAlignment="1">
      <alignment vertical="center"/>
    </xf>
    <xf numFmtId="0" fontId="114" fillId="6" borderId="79" xfId="37" applyFont="1" applyFill="1" applyBorder="1" applyAlignment="1">
      <alignment horizontal="center" vertical="center" wrapText="1"/>
    </xf>
    <xf numFmtId="0" fontId="22" fillId="31" borderId="3" xfId="1" applyFont="1" applyFill="1" applyBorder="1" applyAlignment="1">
      <alignment horizontal="justify" vertical="center"/>
    </xf>
    <xf numFmtId="0" fontId="10" fillId="40" borderId="0" xfId="1" applyFill="1" applyAlignment="1">
      <alignment horizontal="center" vertical="center"/>
    </xf>
    <xf numFmtId="0" fontId="19" fillId="6" borderId="2" xfId="1" applyFont="1" applyFill="1" applyBorder="1" applyAlignment="1">
      <alignment horizontal="justify" vertical="center" wrapText="1"/>
    </xf>
    <xf numFmtId="0" fontId="10" fillId="62" borderId="0" xfId="1" applyFill="1" applyAlignment="1">
      <alignment horizontal="center" vertical="center"/>
    </xf>
    <xf numFmtId="0" fontId="90" fillId="6" borderId="79" xfId="1" applyFont="1" applyFill="1" applyBorder="1" applyAlignment="1">
      <alignment horizontal="justify" vertical="center" wrapText="1"/>
    </xf>
    <xf numFmtId="9" fontId="55" fillId="7" borderId="79" xfId="1" applyNumberFormat="1" applyFont="1" applyFill="1" applyBorder="1" applyAlignment="1">
      <alignment horizontal="center" vertical="center" wrapText="1"/>
    </xf>
    <xf numFmtId="9" fontId="10" fillId="39" borderId="79" xfId="19" applyFont="1" applyFill="1" applyBorder="1" applyAlignment="1">
      <alignment horizontal="center" vertical="center" wrapText="1"/>
    </xf>
    <xf numFmtId="0" fontId="10" fillId="0" borderId="0" xfId="1" applyAlignment="1">
      <alignment vertical="center" wrapText="1"/>
    </xf>
    <xf numFmtId="41" fontId="24" fillId="7" borderId="79" xfId="31" applyFont="1" applyFill="1" applyBorder="1" applyAlignment="1">
      <alignment horizontal="center" vertical="center" wrapText="1"/>
    </xf>
    <xf numFmtId="165" fontId="24" fillId="7" borderId="79" xfId="1" applyNumberFormat="1" applyFont="1" applyFill="1" applyBorder="1" applyAlignment="1">
      <alignment horizontal="center" vertical="center" wrapText="1"/>
    </xf>
    <xf numFmtId="0" fontId="128" fillId="35" borderId="31" xfId="27" applyFont="1" applyFill="1" applyBorder="1" applyAlignment="1">
      <alignment horizontal="center" vertical="center"/>
    </xf>
    <xf numFmtId="0" fontId="12" fillId="6" borderId="83" xfId="1" applyFont="1" applyFill="1" applyBorder="1" applyAlignment="1">
      <alignment horizontal="justify" vertical="center" wrapText="1"/>
    </xf>
    <xf numFmtId="41" fontId="76" fillId="7" borderId="79" xfId="31" applyFont="1" applyFill="1" applyBorder="1" applyAlignment="1">
      <alignment horizontal="center" vertical="center" wrapText="1"/>
    </xf>
    <xf numFmtId="0" fontId="20" fillId="7" borderId="3" xfId="0" applyFont="1" applyFill="1" applyBorder="1" applyAlignment="1">
      <alignment vertical="center" wrapText="1"/>
    </xf>
    <xf numFmtId="0" fontId="20" fillId="7" borderId="96" xfId="0" applyFont="1" applyFill="1" applyBorder="1" applyAlignment="1">
      <alignment vertical="center" wrapText="1"/>
    </xf>
    <xf numFmtId="0" fontId="20" fillId="11" borderId="3" xfId="0" applyFont="1" applyFill="1" applyBorder="1" applyAlignment="1">
      <alignment vertical="center" wrapText="1"/>
    </xf>
    <xf numFmtId="0" fontId="20" fillId="11" borderId="96" xfId="0" applyFont="1" applyFill="1" applyBorder="1" applyAlignment="1">
      <alignment vertical="center" wrapText="1"/>
    </xf>
    <xf numFmtId="1" fontId="75" fillId="13" borderId="79" xfId="8" applyNumberFormat="1" applyFont="1" applyFill="1" applyBorder="1" applyAlignment="1">
      <alignment horizontal="center" vertical="center"/>
    </xf>
    <xf numFmtId="0" fontId="129" fillId="35" borderId="79" xfId="27" applyFont="1" applyFill="1" applyBorder="1" applyAlignment="1">
      <alignment horizontal="center" vertical="center"/>
    </xf>
    <xf numFmtId="0" fontId="132" fillId="35" borderId="79" xfId="27" applyFont="1" applyFill="1" applyBorder="1" applyAlignment="1">
      <alignment horizontal="center" vertical="center"/>
    </xf>
    <xf numFmtId="0" fontId="10" fillId="0" borderId="79" xfId="27" applyFont="1" applyBorder="1" applyAlignment="1">
      <alignment vertical="center"/>
    </xf>
    <xf numFmtId="0" fontId="10" fillId="0" borderId="0" xfId="27" applyFont="1" applyAlignment="1">
      <alignment vertical="center" wrapText="1"/>
    </xf>
    <xf numFmtId="0" fontId="19" fillId="6" borderId="79" xfId="1" applyFont="1" applyFill="1" applyBorder="1" applyAlignment="1">
      <alignment horizontal="justify" vertical="center" wrapText="1"/>
    </xf>
    <xf numFmtId="0" fontId="10" fillId="40" borderId="79" xfId="1" applyFill="1" applyBorder="1" applyAlignment="1">
      <alignment horizontal="center" vertical="center"/>
    </xf>
    <xf numFmtId="9" fontId="55" fillId="7" borderId="2" xfId="1" applyNumberFormat="1" applyFont="1" applyFill="1" applyBorder="1" applyAlignment="1">
      <alignment horizontal="center" vertical="center" wrapText="1"/>
    </xf>
    <xf numFmtId="9" fontId="55" fillId="24" borderId="80" xfId="1" applyNumberFormat="1" applyFont="1" applyFill="1" applyBorder="1" applyAlignment="1">
      <alignment horizontal="center" vertical="center" wrapText="1"/>
    </xf>
    <xf numFmtId="9" fontId="55" fillId="24" borderId="2" xfId="1" applyNumberFormat="1" applyFont="1" applyFill="1" applyBorder="1" applyAlignment="1">
      <alignment horizontal="center" vertical="center" wrapText="1"/>
    </xf>
    <xf numFmtId="9" fontId="55" fillId="24" borderId="5" xfId="1" applyNumberFormat="1" applyFont="1" applyFill="1" applyBorder="1" applyAlignment="1">
      <alignment horizontal="center" vertical="center" wrapText="1"/>
    </xf>
    <xf numFmtId="0" fontId="15" fillId="9" borderId="82" xfId="1" applyFont="1" applyFill="1" applyBorder="1" applyAlignment="1">
      <alignment horizontal="center" vertical="center" wrapText="1"/>
    </xf>
    <xf numFmtId="0" fontId="23" fillId="19" borderId="79" xfId="1" applyFont="1" applyFill="1" applyBorder="1" applyAlignment="1">
      <alignment horizontal="justify" vertical="center" wrapText="1"/>
    </xf>
    <xf numFmtId="0" fontId="10" fillId="19" borderId="79" xfId="1" applyFill="1" applyBorder="1" applyAlignment="1">
      <alignment horizontal="justify" vertical="center" wrapText="1"/>
    </xf>
    <xf numFmtId="9" fontId="10" fillId="12" borderId="79" xfId="1" applyNumberFormat="1" applyFill="1" applyBorder="1" applyAlignment="1">
      <alignment horizontal="center" vertical="center" wrapText="1"/>
    </xf>
    <xf numFmtId="0" fontId="55" fillId="12" borderId="79" xfId="1" applyFont="1" applyFill="1" applyBorder="1" applyAlignment="1">
      <alignment horizontal="center" vertical="center" wrapText="1"/>
    </xf>
    <xf numFmtId="9" fontId="21" fillId="12" borderId="79" xfId="1" applyNumberFormat="1" applyFont="1" applyFill="1" applyBorder="1" applyAlignment="1">
      <alignment horizontal="center" vertical="center" wrapText="1"/>
    </xf>
    <xf numFmtId="0" fontId="21" fillId="12" borderId="79" xfId="1" applyFont="1" applyFill="1" applyBorder="1" applyAlignment="1">
      <alignment horizontal="center" vertical="center" wrapText="1"/>
    </xf>
    <xf numFmtId="9" fontId="155" fillId="12" borderId="79" xfId="1" applyNumberFormat="1" applyFont="1" applyFill="1" applyBorder="1" applyAlignment="1">
      <alignment horizontal="center" vertical="center" wrapText="1"/>
    </xf>
    <xf numFmtId="0" fontId="12" fillId="12" borderId="79" xfId="1" applyFont="1" applyFill="1" applyBorder="1" applyAlignment="1">
      <alignment horizontal="justify" vertical="center" wrapText="1"/>
    </xf>
    <xf numFmtId="9" fontId="91" fillId="7" borderId="79" xfId="1" applyNumberFormat="1" applyFont="1" applyFill="1" applyBorder="1" applyAlignment="1">
      <alignment horizontal="center" vertical="center" wrapText="1"/>
    </xf>
    <xf numFmtId="0" fontId="19" fillId="6" borderId="80" xfId="1" applyFont="1" applyFill="1" applyBorder="1" applyAlignment="1">
      <alignment horizontal="justify" vertical="center" wrapText="1"/>
    </xf>
    <xf numFmtId="172" fontId="20" fillId="6" borderId="79" xfId="1" applyNumberFormat="1" applyFont="1" applyFill="1" applyBorder="1" applyAlignment="1">
      <alignment horizontal="center" vertical="center" wrapText="1"/>
    </xf>
    <xf numFmtId="0" fontId="93" fillId="0" borderId="80" xfId="35" applyFont="1" applyBorder="1" applyAlignment="1">
      <alignment horizontal="center" vertical="center"/>
    </xf>
    <xf numFmtId="0" fontId="144" fillId="0" borderId="80" xfId="1" applyFont="1" applyBorder="1" applyAlignment="1">
      <alignment horizontal="center" vertical="center" wrapText="1"/>
    </xf>
    <xf numFmtId="0" fontId="133" fillId="6" borderId="19" xfId="35" applyFont="1" applyFill="1" applyBorder="1" applyAlignment="1">
      <alignment horizontal="justify" vertical="center"/>
    </xf>
    <xf numFmtId="0" fontId="10" fillId="6" borderId="19" xfId="35" applyFont="1" applyFill="1" applyBorder="1" applyAlignment="1">
      <alignment horizontal="left" vertical="center"/>
    </xf>
    <xf numFmtId="0" fontId="10" fillId="6" borderId="19" xfId="35" applyFont="1" applyFill="1" applyBorder="1" applyAlignment="1">
      <alignment horizontal="center" vertical="center"/>
    </xf>
    <xf numFmtId="0" fontId="10" fillId="0" borderId="19" xfId="35" applyFont="1" applyBorder="1" applyAlignment="1">
      <alignment horizontal="center" vertical="center"/>
    </xf>
    <xf numFmtId="9" fontId="10" fillId="0" borderId="19" xfId="36" applyFont="1" applyBorder="1" applyAlignment="1">
      <alignment horizontal="center" vertical="center"/>
    </xf>
    <xf numFmtId="0" fontId="97" fillId="0" borderId="10" xfId="35" applyFont="1" applyBorder="1" applyAlignment="1">
      <alignment horizontal="justify" vertical="center"/>
    </xf>
    <xf numFmtId="0" fontId="10" fillId="6" borderId="79" xfId="35" applyFont="1" applyFill="1" applyBorder="1" applyAlignment="1">
      <alignment horizontal="left" vertical="center"/>
    </xf>
    <xf numFmtId="0" fontId="10" fillId="6" borderId="79" xfId="35" applyFont="1" applyFill="1" applyBorder="1" applyAlignment="1">
      <alignment horizontal="center" vertical="center"/>
    </xf>
    <xf numFmtId="0" fontId="10" fillId="0" borderId="79" xfId="35" applyFont="1" applyBorder="1" applyAlignment="1">
      <alignment horizontal="center" vertical="center"/>
    </xf>
    <xf numFmtId="9" fontId="10" fillId="0" borderId="79" xfId="36" applyFont="1" applyBorder="1" applyAlignment="1">
      <alignment horizontal="center" vertical="center"/>
    </xf>
    <xf numFmtId="0" fontId="97" fillId="0" borderId="10" xfId="35" applyFont="1" applyBorder="1" applyAlignment="1">
      <alignment horizontal="justify" vertical="center" wrapText="1"/>
    </xf>
    <xf numFmtId="0" fontId="12" fillId="6" borderId="79" xfId="35" applyFont="1" applyFill="1" applyBorder="1" applyAlignment="1">
      <alignment horizontal="justify" vertical="center"/>
    </xf>
    <xf numFmtId="0" fontId="26" fillId="6" borderId="79" xfId="0" applyFont="1" applyFill="1" applyBorder="1" applyAlignment="1">
      <alignment horizontal="justify" vertical="center" wrapText="1" readingOrder="1"/>
    </xf>
    <xf numFmtId="0" fontId="10" fillId="6" borderId="79" xfId="35" applyFont="1" applyFill="1" applyBorder="1" applyAlignment="1">
      <alignment horizontal="justify" vertical="center"/>
    </xf>
    <xf numFmtId="0" fontId="26" fillId="6" borderId="79" xfId="0" applyFont="1" applyFill="1" applyBorder="1" applyAlignment="1">
      <alignment horizontal="justify" vertical="center" wrapText="1"/>
    </xf>
    <xf numFmtId="0" fontId="97" fillId="6" borderId="79" xfId="35" applyFont="1" applyFill="1" applyBorder="1" applyAlignment="1">
      <alignment horizontal="center" vertical="center"/>
    </xf>
    <xf numFmtId="0" fontId="10" fillId="6" borderId="32" xfId="35" applyFont="1" applyFill="1" applyBorder="1" applyAlignment="1">
      <alignment horizontal="justify" vertical="center"/>
    </xf>
    <xf numFmtId="0" fontId="12" fillId="6" borderId="32" xfId="35" applyFont="1" applyFill="1" applyBorder="1" applyAlignment="1">
      <alignment horizontal="justify" vertical="center"/>
    </xf>
    <xf numFmtId="0" fontId="10" fillId="6" borderId="32" xfId="35" applyFont="1" applyFill="1" applyBorder="1" applyAlignment="1">
      <alignment horizontal="center" vertical="center"/>
    </xf>
    <xf numFmtId="0" fontId="10" fillId="0" borderId="32" xfId="35" applyFont="1" applyBorder="1" applyAlignment="1">
      <alignment horizontal="center" vertical="center"/>
    </xf>
    <xf numFmtId="9" fontId="10" fillId="0" borderId="32" xfId="36" applyFont="1" applyBorder="1" applyAlignment="1">
      <alignment horizontal="center" vertical="center"/>
    </xf>
    <xf numFmtId="0" fontId="97" fillId="0" borderId="35" xfId="35" applyFont="1" applyBorder="1" applyAlignment="1">
      <alignment horizontal="justify" vertical="center"/>
    </xf>
    <xf numFmtId="0" fontId="10" fillId="0" borderId="16" xfId="35" applyFont="1" applyBorder="1" applyAlignment="1">
      <alignment horizontal="justify" vertical="center"/>
    </xf>
    <xf numFmtId="0" fontId="19" fillId="6" borderId="3" xfId="35" applyFont="1" applyFill="1" applyBorder="1" applyAlignment="1">
      <alignment horizontal="justify" vertical="center"/>
    </xf>
    <xf numFmtId="0" fontId="12" fillId="6" borderId="3" xfId="35" applyFont="1" applyFill="1" applyBorder="1" applyAlignment="1">
      <alignment horizontal="justify" vertical="center"/>
    </xf>
    <xf numFmtId="0" fontId="10" fillId="6" borderId="3" xfId="35" applyFont="1" applyFill="1" applyBorder="1" applyAlignment="1">
      <alignment horizontal="center" vertical="center" wrapText="1"/>
    </xf>
    <xf numFmtId="0" fontId="10" fillId="0" borderId="3" xfId="35" applyFont="1" applyBorder="1" applyAlignment="1">
      <alignment horizontal="center" vertical="center"/>
    </xf>
    <xf numFmtId="9" fontId="10" fillId="0" borderId="3" xfId="36" applyFont="1" applyBorder="1" applyAlignment="1">
      <alignment horizontal="center" vertical="center"/>
    </xf>
    <xf numFmtId="0" fontId="97" fillId="0" borderId="44" xfId="35" applyFont="1" applyBorder="1" applyAlignment="1">
      <alignment horizontal="justify" vertical="center"/>
    </xf>
    <xf numFmtId="0" fontId="10" fillId="0" borderId="19" xfId="35" applyFont="1" applyBorder="1" applyAlignment="1">
      <alignment horizontal="justify" vertical="center"/>
    </xf>
    <xf numFmtId="0" fontId="12" fillId="6" borderId="19" xfId="35" applyFont="1" applyFill="1" applyBorder="1" applyAlignment="1">
      <alignment horizontal="justify" vertical="center"/>
    </xf>
    <xf numFmtId="0" fontId="97" fillId="0" borderId="15" xfId="35" applyFont="1" applyBorder="1" applyAlignment="1">
      <alignment horizontal="justify" vertical="center" wrapText="1"/>
    </xf>
    <xf numFmtId="0" fontId="97" fillId="0" borderId="35" xfId="35" applyFont="1" applyBorder="1" applyAlignment="1">
      <alignment horizontal="justify" vertical="center" wrapText="1"/>
    </xf>
    <xf numFmtId="0" fontId="97" fillId="0" borderId="18" xfId="35" applyFont="1" applyBorder="1" applyAlignment="1">
      <alignment vertical="center"/>
    </xf>
    <xf numFmtId="0" fontId="10" fillId="6" borderId="80" xfId="35" applyFont="1" applyFill="1" applyBorder="1" applyAlignment="1">
      <alignment horizontal="justify" vertical="center"/>
    </xf>
    <xf numFmtId="0" fontId="10" fillId="6" borderId="80" xfId="35" applyFont="1" applyFill="1" applyBorder="1" applyAlignment="1">
      <alignment horizontal="center" vertical="center"/>
    </xf>
    <xf numFmtId="0" fontId="10" fillId="0" borderId="80" xfId="35" applyFont="1" applyBorder="1" applyAlignment="1">
      <alignment horizontal="center" vertical="center"/>
    </xf>
    <xf numFmtId="9" fontId="10" fillId="0" borderId="80" xfId="36" applyFont="1" applyBorder="1" applyAlignment="1">
      <alignment horizontal="center" vertical="center"/>
    </xf>
    <xf numFmtId="0" fontId="97" fillId="0" borderId="31" xfId="35" applyFont="1" applyBorder="1" applyAlignment="1">
      <alignment vertical="center"/>
    </xf>
    <xf numFmtId="0" fontId="10" fillId="6" borderId="83" xfId="35" applyFont="1" applyFill="1" applyBorder="1" applyAlignment="1">
      <alignment horizontal="justify" vertical="center"/>
    </xf>
    <xf numFmtId="0" fontId="10" fillId="6" borderId="83" xfId="35" applyFont="1" applyFill="1" applyBorder="1" applyAlignment="1">
      <alignment horizontal="center" vertical="center"/>
    </xf>
    <xf numFmtId="0" fontId="10" fillId="0" borderId="83" xfId="35" applyFont="1" applyBorder="1" applyAlignment="1">
      <alignment horizontal="center" vertical="center"/>
    </xf>
    <xf numFmtId="0" fontId="10" fillId="6" borderId="19" xfId="35" applyFont="1" applyFill="1" applyBorder="1" applyAlignment="1">
      <alignment horizontal="justify" vertical="center"/>
    </xf>
    <xf numFmtId="0" fontId="151" fillId="0" borderId="15" xfId="35" applyFont="1" applyBorder="1" applyAlignment="1">
      <alignment horizontal="justify" vertical="center" wrapText="1"/>
    </xf>
    <xf numFmtId="0" fontId="87" fillId="6" borderId="79" xfId="35" applyFont="1" applyFill="1" applyBorder="1" applyAlignment="1">
      <alignment horizontal="justify" vertical="center"/>
    </xf>
    <xf numFmtId="0" fontId="86" fillId="6" borderId="79" xfId="35" applyFont="1" applyFill="1" applyBorder="1" applyAlignment="1">
      <alignment horizontal="justify" vertical="center"/>
    </xf>
    <xf numFmtId="0" fontId="16" fillId="6" borderId="79" xfId="35" applyFont="1" applyFill="1" applyBorder="1" applyAlignment="1">
      <alignment horizontal="center" vertical="center"/>
    </xf>
    <xf numFmtId="0" fontId="16" fillId="0" borderId="79" xfId="35" applyFont="1" applyBorder="1" applyAlignment="1">
      <alignment horizontal="center" vertical="center"/>
    </xf>
    <xf numFmtId="9" fontId="16" fillId="0" borderId="79" xfId="36" applyFont="1" applyBorder="1" applyAlignment="1">
      <alignment horizontal="center" vertical="center"/>
    </xf>
    <xf numFmtId="0" fontId="139" fillId="6" borderId="10" xfId="35" applyFont="1" applyFill="1" applyBorder="1" applyAlignment="1">
      <alignment horizontal="justify" vertical="center"/>
    </xf>
    <xf numFmtId="0" fontId="10" fillId="6" borderId="79" xfId="35" applyFont="1" applyFill="1" applyBorder="1" applyAlignment="1">
      <alignment horizontal="justify" vertical="center" wrapText="1"/>
    </xf>
    <xf numFmtId="0" fontId="97" fillId="6" borderId="10" xfId="35" applyFont="1" applyFill="1" applyBorder="1" applyAlignment="1">
      <alignment horizontal="justify" vertical="center" wrapText="1"/>
    </xf>
    <xf numFmtId="0" fontId="97" fillId="6" borderId="35" xfId="35" applyFont="1" applyFill="1" applyBorder="1" applyAlignment="1">
      <alignment horizontal="justify" vertical="center" wrapText="1"/>
    </xf>
    <xf numFmtId="9" fontId="10" fillId="0" borderId="83" xfId="36" applyFont="1" applyBorder="1" applyAlignment="1">
      <alignment horizontal="center" vertical="center"/>
    </xf>
    <xf numFmtId="0" fontId="23" fillId="0" borderId="19" xfId="35" applyFont="1" applyBorder="1" applyAlignment="1">
      <alignment horizontal="justify" vertical="center"/>
    </xf>
    <xf numFmtId="0" fontId="23" fillId="0" borderId="83" xfId="35" applyFont="1" applyBorder="1" applyAlignment="1">
      <alignment horizontal="justify" vertical="center"/>
    </xf>
    <xf numFmtId="0" fontId="12" fillId="6" borderId="83" xfId="35" applyFont="1" applyFill="1" applyBorder="1" applyAlignment="1">
      <alignment horizontal="justify" vertical="center"/>
    </xf>
    <xf numFmtId="0" fontId="182" fillId="0" borderId="94" xfId="35" applyFont="1" applyBorder="1" applyAlignment="1">
      <alignment horizontal="justify" vertical="center" wrapText="1"/>
    </xf>
    <xf numFmtId="0" fontId="10" fillId="0" borderId="19" xfId="35" applyFont="1" applyBorder="1" applyAlignment="1">
      <alignment horizontal="justify" vertical="center" wrapText="1"/>
    </xf>
    <xf numFmtId="0" fontId="97" fillId="6" borderId="19" xfId="35" applyFont="1" applyFill="1" applyBorder="1" applyAlignment="1">
      <alignment horizontal="center" vertical="center"/>
    </xf>
    <xf numFmtId="0" fontId="19" fillId="0" borderId="79" xfId="35" applyFont="1" applyBorder="1" applyAlignment="1">
      <alignment horizontal="justify" vertical="center"/>
    </xf>
    <xf numFmtId="0" fontId="19" fillId="0" borderId="79" xfId="35" applyFont="1" applyBorder="1" applyAlignment="1">
      <alignment horizontal="justify" vertical="center" wrapText="1"/>
    </xf>
    <xf numFmtId="0" fontId="19" fillId="0" borderId="32" xfId="35" applyFont="1" applyBorder="1" applyAlignment="1">
      <alignment horizontal="justify" vertical="center" wrapText="1"/>
    </xf>
    <xf numFmtId="0" fontId="97" fillId="6" borderId="32" xfId="35" applyFont="1" applyFill="1" applyBorder="1" applyAlignment="1">
      <alignment horizontal="center" vertical="center"/>
    </xf>
    <xf numFmtId="0" fontId="10" fillId="0" borderId="35" xfId="1" applyBorder="1" applyAlignment="1">
      <alignment horizontal="justify" vertical="center" wrapText="1"/>
    </xf>
    <xf numFmtId="2" fontId="97" fillId="0" borderId="0" xfId="35" applyNumberFormat="1" applyFont="1" applyAlignment="1">
      <alignment vertical="center"/>
    </xf>
    <xf numFmtId="0" fontId="24" fillId="0" borderId="3" xfId="35" applyFont="1" applyBorder="1" applyAlignment="1">
      <alignment horizontal="center" vertical="center"/>
    </xf>
    <xf numFmtId="0" fontId="10" fillId="6" borderId="3" xfId="35" applyFont="1" applyFill="1" applyBorder="1" applyAlignment="1">
      <alignment horizontal="justify" vertical="center"/>
    </xf>
    <xf numFmtId="0" fontId="10" fillId="6" borderId="3" xfId="35" applyFont="1" applyFill="1" applyBorder="1" applyAlignment="1">
      <alignment horizontal="center" vertical="center"/>
    </xf>
    <xf numFmtId="0" fontId="19" fillId="6" borderId="32" xfId="35" applyFont="1" applyFill="1" applyBorder="1" applyAlignment="1">
      <alignment horizontal="justify" vertical="center"/>
    </xf>
    <xf numFmtId="0" fontId="12" fillId="6" borderId="80" xfId="35" applyFont="1" applyFill="1" applyBorder="1" applyAlignment="1">
      <alignment horizontal="justify" vertical="center"/>
    </xf>
    <xf numFmtId="0" fontId="97" fillId="0" borderId="90" xfId="35" applyFont="1" applyBorder="1" applyAlignment="1">
      <alignment horizontal="justify" vertical="center"/>
    </xf>
    <xf numFmtId="0" fontId="150" fillId="0" borderId="0" xfId="35" applyFont="1" applyAlignment="1">
      <alignment vertical="center"/>
    </xf>
    <xf numFmtId="0" fontId="10" fillId="6" borderId="34" xfId="35" applyFont="1" applyFill="1" applyBorder="1" applyAlignment="1">
      <alignment horizontal="justify" vertical="center"/>
    </xf>
    <xf numFmtId="0" fontId="63" fillId="6" borderId="33" xfId="35" applyFont="1" applyFill="1" applyBorder="1" applyAlignment="1">
      <alignment horizontal="center" vertical="center"/>
    </xf>
    <xf numFmtId="0" fontId="10" fillId="0" borderId="33" xfId="35" applyFont="1" applyBorder="1" applyAlignment="1">
      <alignment horizontal="justify" vertical="center"/>
    </xf>
    <xf numFmtId="0" fontId="12" fillId="6" borderId="33" xfId="35" applyFont="1" applyFill="1" applyBorder="1" applyAlignment="1">
      <alignment horizontal="justify" vertical="center"/>
    </xf>
    <xf numFmtId="0" fontId="10" fillId="6" borderId="33" xfId="35" applyFont="1" applyFill="1" applyBorder="1" applyAlignment="1">
      <alignment horizontal="center" vertical="center"/>
    </xf>
    <xf numFmtId="0" fontId="10" fillId="0" borderId="33" xfId="35" applyFont="1" applyBorder="1" applyAlignment="1">
      <alignment horizontal="center" vertical="center"/>
    </xf>
    <xf numFmtId="9" fontId="10" fillId="0" borderId="33" xfId="36" applyFont="1" applyBorder="1" applyAlignment="1">
      <alignment horizontal="center" vertical="center"/>
    </xf>
    <xf numFmtId="0" fontId="10" fillId="6" borderId="70" xfId="0" applyFont="1" applyFill="1" applyBorder="1" applyAlignment="1">
      <alignment horizontal="justify" vertical="center" wrapText="1"/>
    </xf>
    <xf numFmtId="0" fontId="97" fillId="0" borderId="104" xfId="35" applyFont="1" applyBorder="1" applyAlignment="1">
      <alignment horizontal="justify" vertical="center" wrapText="1"/>
    </xf>
    <xf numFmtId="0" fontId="10" fillId="0" borderId="79" xfId="35" applyFont="1" applyBorder="1" applyAlignment="1">
      <alignment horizontal="justify" vertical="center" wrapText="1"/>
    </xf>
    <xf numFmtId="0" fontId="97" fillId="6" borderId="95" xfId="35" applyFont="1" applyFill="1" applyBorder="1" applyAlignment="1">
      <alignment horizontal="justify" vertical="center" wrapText="1"/>
    </xf>
    <xf numFmtId="0" fontId="97" fillId="0" borderId="95" xfId="35" applyFont="1" applyBorder="1" applyAlignment="1">
      <alignment horizontal="justify" vertical="center" wrapText="1"/>
    </xf>
    <xf numFmtId="0" fontId="97" fillId="0" borderId="95" xfId="35" applyFont="1" applyBorder="1" applyAlignment="1">
      <alignment horizontal="justify" vertical="center"/>
    </xf>
    <xf numFmtId="0" fontId="19" fillId="21" borderId="82" xfId="35" applyFont="1" applyFill="1" applyBorder="1" applyAlignment="1">
      <alignment horizontal="justify" vertical="center"/>
    </xf>
    <xf numFmtId="0" fontId="63" fillId="21" borderId="83" xfId="35" applyFont="1" applyFill="1" applyBorder="1" applyAlignment="1">
      <alignment horizontal="center" vertical="center"/>
    </xf>
    <xf numFmtId="0" fontId="44" fillId="6" borderId="83" xfId="35" applyFont="1" applyFill="1" applyBorder="1" applyAlignment="1">
      <alignment horizontal="center" vertical="center"/>
    </xf>
    <xf numFmtId="0" fontId="63" fillId="6" borderId="83" xfId="35" applyFont="1" applyFill="1" applyBorder="1" applyAlignment="1">
      <alignment horizontal="center" vertical="center"/>
    </xf>
    <xf numFmtId="10" fontId="44" fillId="21" borderId="83" xfId="35" applyNumberFormat="1" applyFont="1" applyFill="1" applyBorder="1" applyAlignment="1">
      <alignment horizontal="center" vertical="center"/>
    </xf>
    <xf numFmtId="0" fontId="10" fillId="0" borderId="0" xfId="35" applyFont="1" applyAlignment="1">
      <alignment vertical="center"/>
    </xf>
    <xf numFmtId="0" fontId="97" fillId="6" borderId="0" xfId="35" applyFont="1" applyFill="1" applyAlignment="1">
      <alignment vertical="center"/>
    </xf>
    <xf numFmtId="0" fontId="127" fillId="0" borderId="19" xfId="35" applyFont="1" applyBorder="1" applyAlignment="1">
      <alignment vertical="center"/>
    </xf>
    <xf numFmtId="0" fontId="151" fillId="0" borderId="19" xfId="35" applyFont="1" applyBorder="1" applyAlignment="1">
      <alignment horizontal="justify" vertical="center" wrapText="1"/>
    </xf>
    <xf numFmtId="0" fontId="127" fillId="0" borderId="79" xfId="35" applyFont="1" applyBorder="1" applyAlignment="1">
      <alignment vertical="center"/>
    </xf>
    <xf numFmtId="0" fontId="151" fillId="0" borderId="79" xfId="35" applyFont="1" applyBorder="1" applyAlignment="1">
      <alignment horizontal="justify" vertical="center" wrapText="1"/>
    </xf>
    <xf numFmtId="0" fontId="127" fillId="0" borderId="6" xfId="35" applyFont="1" applyBorder="1" applyAlignment="1">
      <alignment horizontal="justify" vertical="center"/>
    </xf>
    <xf numFmtId="0" fontId="133" fillId="0" borderId="79" xfId="35" applyFont="1" applyBorder="1" applyAlignment="1">
      <alignment horizontal="justify" vertical="center" wrapText="1"/>
    </xf>
    <xf numFmtId="0" fontId="186" fillId="0" borderId="79" xfId="35" applyFont="1" applyBorder="1" applyAlignment="1">
      <alignment horizontal="justify" vertical="center" wrapText="1"/>
    </xf>
    <xf numFmtId="0" fontId="97" fillId="6" borderId="95" xfId="35" applyFont="1" applyFill="1" applyBorder="1" applyAlignment="1">
      <alignment horizontal="justify" vertical="center"/>
    </xf>
    <xf numFmtId="0" fontId="97" fillId="0" borderId="79" xfId="35" applyFont="1" applyBorder="1" applyAlignment="1">
      <alignment horizontal="justify" vertical="center" wrapText="1"/>
    </xf>
    <xf numFmtId="0" fontId="133" fillId="0" borderId="95" xfId="35" applyFont="1" applyBorder="1" applyAlignment="1">
      <alignment horizontal="justify" vertical="center" wrapText="1"/>
    </xf>
    <xf numFmtId="0" fontId="127" fillId="0" borderId="79" xfId="35" applyFont="1" applyBorder="1" applyAlignment="1">
      <alignment vertical="center" wrapText="1"/>
    </xf>
    <xf numFmtId="0" fontId="127" fillId="6" borderId="79" xfId="35" applyFont="1" applyFill="1" applyBorder="1" applyAlignment="1">
      <alignment horizontal="center" vertical="center"/>
    </xf>
    <xf numFmtId="0" fontId="127" fillId="0" borderId="31" xfId="35" applyFont="1" applyBorder="1" applyAlignment="1">
      <alignment horizontal="justify" vertical="center"/>
    </xf>
    <xf numFmtId="0" fontId="127" fillId="0" borderId="32" xfId="35" applyFont="1" applyBorder="1" applyAlignment="1">
      <alignment vertical="center"/>
    </xf>
    <xf numFmtId="0" fontId="97" fillId="0" borderId="32" xfId="35" applyFont="1" applyBorder="1" applyAlignment="1">
      <alignment horizontal="justify" vertical="center" wrapText="1"/>
    </xf>
    <xf numFmtId="0" fontId="97" fillId="6" borderId="101" xfId="35" applyFont="1" applyFill="1" applyBorder="1" applyAlignment="1">
      <alignment horizontal="justify" vertical="center"/>
    </xf>
    <xf numFmtId="10" fontId="22" fillId="54" borderId="70" xfId="35" applyNumberFormat="1" applyFont="1" applyFill="1" applyBorder="1" applyAlignment="1">
      <alignment horizontal="center" vertical="center"/>
    </xf>
    <xf numFmtId="0" fontId="151" fillId="0" borderId="0" xfId="35" applyFont="1" applyAlignment="1">
      <alignment horizontal="center" vertical="center"/>
    </xf>
    <xf numFmtId="0" fontId="20" fillId="35" borderId="83" xfId="0" applyFont="1" applyFill="1" applyBorder="1" applyAlignment="1">
      <alignment horizontal="justify" vertical="center"/>
    </xf>
    <xf numFmtId="0" fontId="20" fillId="35" borderId="83" xfId="0" applyFont="1" applyFill="1" applyBorder="1" applyAlignment="1">
      <alignment horizontal="center" vertical="center"/>
    </xf>
    <xf numFmtId="0" fontId="10" fillId="13" borderId="18" xfId="0" applyFont="1" applyFill="1" applyBorder="1" applyAlignment="1">
      <alignment horizontal="justify" vertical="center"/>
    </xf>
    <xf numFmtId="0" fontId="63" fillId="6" borderId="19" xfId="0" applyFont="1" applyFill="1" applyBorder="1" applyAlignment="1">
      <alignment horizontal="center" vertical="center"/>
    </xf>
    <xf numFmtId="0" fontId="63" fillId="0" borderId="19" xfId="0" applyFont="1" applyBorder="1" applyAlignment="1">
      <alignment horizontal="center" vertical="center"/>
    </xf>
    <xf numFmtId="9" fontId="17" fillId="0" borderId="19" xfId="19" applyFont="1" applyBorder="1" applyAlignment="1">
      <alignment horizontal="center" vertical="center"/>
    </xf>
    <xf numFmtId="0" fontId="10" fillId="0" borderId="15" xfId="0" applyFont="1" applyBorder="1" applyAlignment="1">
      <alignment vertical="center"/>
    </xf>
    <xf numFmtId="0" fontId="10" fillId="0" borderId="10" xfId="0" applyFont="1" applyBorder="1" applyAlignment="1">
      <alignment vertical="center"/>
    </xf>
    <xf numFmtId="10" fontId="17" fillId="0" borderId="10" xfId="19" applyNumberFormat="1" applyFont="1" applyBorder="1" applyAlignment="1">
      <alignment horizontal="center" vertical="center"/>
    </xf>
    <xf numFmtId="10" fontId="10" fillId="6" borderId="0" xfId="19" applyNumberFormat="1" applyFont="1" applyFill="1" applyAlignment="1">
      <alignment vertical="center"/>
    </xf>
    <xf numFmtId="0" fontId="63" fillId="35" borderId="32" xfId="0" applyFont="1" applyFill="1" applyBorder="1" applyAlignment="1">
      <alignment horizontal="center" vertical="center"/>
    </xf>
    <xf numFmtId="10" fontId="17" fillId="35" borderId="32" xfId="19" applyNumberFormat="1" applyFont="1" applyFill="1" applyBorder="1" applyAlignment="1">
      <alignment horizontal="center" vertical="center"/>
    </xf>
    <xf numFmtId="10" fontId="17" fillId="35" borderId="35" xfId="19" applyNumberFormat="1" applyFont="1" applyFill="1" applyBorder="1" applyAlignment="1">
      <alignment horizontal="center" vertical="center"/>
    </xf>
    <xf numFmtId="0" fontId="17" fillId="56" borderId="79" xfId="1" applyFont="1" applyFill="1" applyBorder="1" applyAlignment="1">
      <alignment horizontal="center" vertical="center" wrapText="1"/>
    </xf>
    <xf numFmtId="1" fontId="17" fillId="8" borderId="79" xfId="0" applyNumberFormat="1" applyFont="1" applyFill="1" applyBorder="1" applyAlignment="1">
      <alignment horizontal="center" vertical="center"/>
    </xf>
    <xf numFmtId="10" fontId="17" fillId="8" borderId="79" xfId="0" applyNumberFormat="1" applyFont="1" applyFill="1" applyBorder="1" applyAlignment="1">
      <alignment horizontal="center" vertical="center"/>
    </xf>
    <xf numFmtId="10" fontId="44" fillId="6" borderId="79" xfId="3" applyNumberFormat="1" applyFont="1" applyFill="1" applyBorder="1" applyAlignment="1">
      <alignment horizontal="center" vertical="center" wrapText="1"/>
    </xf>
    <xf numFmtId="0" fontId="21" fillId="0" borderId="0" xfId="1" applyFont="1" applyAlignment="1">
      <alignment horizontal="left" vertical="center"/>
    </xf>
    <xf numFmtId="0" fontId="10" fillId="6" borderId="0" xfId="1" applyFill="1" applyAlignment="1">
      <alignment horizontal="center" vertical="center"/>
    </xf>
    <xf numFmtId="0" fontId="16" fillId="9" borderId="32" xfId="1" applyFont="1" applyFill="1" applyBorder="1" applyAlignment="1">
      <alignment horizontal="center"/>
    </xf>
    <xf numFmtId="0" fontId="19" fillId="9" borderId="32" xfId="1" applyFont="1" applyFill="1" applyBorder="1" applyAlignment="1">
      <alignment horizontal="center"/>
    </xf>
    <xf numFmtId="0" fontId="21" fillId="0" borderId="85" xfId="1" applyFont="1" applyBorder="1" applyAlignment="1">
      <alignment horizontal="left" vertical="center"/>
    </xf>
    <xf numFmtId="165" fontId="10" fillId="6" borderId="80" xfId="3" applyNumberFormat="1" applyFont="1" applyFill="1" applyBorder="1" applyAlignment="1">
      <alignment horizontal="center" vertical="center" wrapText="1"/>
    </xf>
    <xf numFmtId="9" fontId="12" fillId="6" borderId="80" xfId="3" applyFont="1" applyFill="1" applyBorder="1" applyAlignment="1">
      <alignment horizontal="center" vertical="center" wrapText="1"/>
    </xf>
    <xf numFmtId="165" fontId="12" fillId="6" borderId="80" xfId="3" applyNumberFormat="1" applyFont="1" applyFill="1" applyBorder="1" applyAlignment="1">
      <alignment horizontal="center" vertical="center" wrapText="1"/>
    </xf>
    <xf numFmtId="165" fontId="12" fillId="6" borderId="10" xfId="3" applyNumberFormat="1" applyFont="1" applyFill="1" applyBorder="1" applyAlignment="1">
      <alignment horizontal="center" vertical="center" wrapText="1"/>
    </xf>
    <xf numFmtId="165" fontId="17" fillId="6" borderId="79" xfId="19" applyNumberFormat="1" applyFont="1" applyFill="1" applyBorder="1" applyAlignment="1">
      <alignment horizontal="center" vertical="center" wrapText="1"/>
    </xf>
    <xf numFmtId="165" fontId="17" fillId="64" borderId="79" xfId="19" applyNumberFormat="1" applyFont="1" applyFill="1" applyBorder="1" applyAlignment="1">
      <alignment horizontal="center" vertical="center" wrapText="1"/>
    </xf>
    <xf numFmtId="0" fontId="12" fillId="6" borderId="85" xfId="1" applyFont="1" applyFill="1" applyBorder="1" applyAlignment="1">
      <alignment vertical="center" wrapText="1"/>
    </xf>
    <xf numFmtId="165" fontId="10" fillId="6" borderId="79" xfId="19" applyNumberFormat="1" applyFont="1" applyFill="1" applyBorder="1" applyAlignment="1">
      <alignment horizontal="center" vertical="center"/>
    </xf>
    <xf numFmtId="0" fontId="12" fillId="6" borderId="6" xfId="1" applyFont="1" applyFill="1" applyBorder="1" applyAlignment="1">
      <alignment vertical="center" wrapText="1"/>
    </xf>
    <xf numFmtId="10" fontId="16" fillId="13" borderId="79" xfId="1" applyNumberFormat="1" applyFont="1" applyFill="1" applyBorder="1" applyAlignment="1">
      <alignment horizontal="center"/>
    </xf>
    <xf numFmtId="9" fontId="10" fillId="0" borderId="0" xfId="19" applyFont="1"/>
    <xf numFmtId="0" fontId="10" fillId="0" borderId="46" xfId="1" applyBorder="1"/>
    <xf numFmtId="0" fontId="10" fillId="0" borderId="48" xfId="1" applyBorder="1"/>
    <xf numFmtId="41" fontId="17" fillId="6" borderId="79" xfId="31" applyFont="1" applyFill="1" applyBorder="1" applyAlignment="1">
      <alignment horizontal="center" vertical="center" wrapText="1"/>
    </xf>
    <xf numFmtId="171" fontId="12" fillId="35" borderId="79" xfId="31" applyNumberFormat="1" applyFont="1" applyFill="1" applyBorder="1" applyAlignment="1">
      <alignment horizontal="center" vertical="center" wrapText="1"/>
    </xf>
    <xf numFmtId="10" fontId="19" fillId="0" borderId="80" xfId="1" applyNumberFormat="1" applyFont="1" applyBorder="1"/>
    <xf numFmtId="0" fontId="12" fillId="6" borderId="0" xfId="1" applyFont="1" applyFill="1" applyAlignment="1">
      <alignment horizontal="center" vertical="center"/>
    </xf>
    <xf numFmtId="0" fontId="17" fillId="22" borderId="0" xfId="1" applyFont="1" applyFill="1" applyAlignment="1">
      <alignment horizontal="center" vertical="center"/>
    </xf>
    <xf numFmtId="0" fontId="23" fillId="21" borderId="38" xfId="0" applyFont="1" applyFill="1" applyBorder="1" applyAlignment="1">
      <alignment horizontal="justify" vertical="center"/>
    </xf>
    <xf numFmtId="0" fontId="13" fillId="6" borderId="3" xfId="1" applyFont="1" applyFill="1" applyBorder="1" applyAlignment="1">
      <alignment vertical="center" wrapText="1"/>
    </xf>
    <xf numFmtId="10" fontId="12" fillId="6" borderId="79" xfId="1" applyNumberFormat="1" applyFont="1" applyFill="1" applyBorder="1" applyAlignment="1">
      <alignment horizontal="center" vertical="center"/>
    </xf>
    <xf numFmtId="166" fontId="24" fillId="0" borderId="0" xfId="1" applyNumberFormat="1" applyFont="1" applyAlignment="1">
      <alignment horizontal="center" vertical="center" wrapText="1"/>
    </xf>
    <xf numFmtId="0" fontId="97" fillId="6" borderId="29" xfId="35" applyFont="1" applyFill="1" applyBorder="1" applyAlignment="1">
      <alignment horizontal="justify" vertical="center" wrapText="1"/>
    </xf>
    <xf numFmtId="0" fontId="151" fillId="6" borderId="95" xfId="35" applyFont="1" applyFill="1" applyBorder="1" applyAlignment="1">
      <alignment horizontal="justify" vertical="center" wrapText="1"/>
    </xf>
    <xf numFmtId="0" fontId="97" fillId="6" borderId="10" xfId="35" applyFont="1" applyFill="1" applyBorder="1" applyAlignment="1">
      <alignment horizontal="justify" vertical="center"/>
    </xf>
    <xf numFmtId="0" fontId="151" fillId="6" borderId="10" xfId="35" applyFont="1" applyFill="1" applyBorder="1" applyAlignment="1">
      <alignment horizontal="justify" vertical="center" wrapText="1"/>
    </xf>
    <xf numFmtId="0" fontId="97" fillId="6" borderId="44" xfId="35" applyFont="1" applyFill="1" applyBorder="1" applyAlignment="1">
      <alignment horizontal="justify" vertical="center" wrapText="1"/>
    </xf>
    <xf numFmtId="0" fontId="127" fillId="6" borderId="10" xfId="35" applyFont="1" applyFill="1" applyBorder="1" applyAlignment="1">
      <alignment horizontal="justify" vertical="center" wrapText="1"/>
    </xf>
    <xf numFmtId="0" fontId="127" fillId="6" borderId="90" xfId="35" applyFont="1" applyFill="1" applyBorder="1" applyAlignment="1">
      <alignment horizontal="justify" vertical="center" wrapText="1"/>
    </xf>
    <xf numFmtId="0" fontId="151" fillId="6" borderId="94" xfId="35" applyFont="1" applyFill="1" applyBorder="1" applyAlignment="1">
      <alignment horizontal="justify" vertical="center" wrapText="1"/>
    </xf>
    <xf numFmtId="0" fontId="151" fillId="6" borderId="15" xfId="35" applyFont="1" applyFill="1" applyBorder="1" applyAlignment="1">
      <alignment horizontal="justify" vertical="center" wrapText="1"/>
    </xf>
    <xf numFmtId="0" fontId="97" fillId="6" borderId="15" xfId="35" applyFont="1" applyFill="1" applyBorder="1" applyAlignment="1">
      <alignment horizontal="justify" vertical="center" wrapText="1"/>
    </xf>
    <xf numFmtId="9" fontId="17" fillId="0" borderId="79" xfId="19" applyFont="1" applyBorder="1" applyAlignment="1">
      <alignment horizontal="center" vertical="center"/>
    </xf>
    <xf numFmtId="0" fontId="139" fillId="6" borderId="35" xfId="35" applyFont="1" applyFill="1" applyBorder="1" applyAlignment="1">
      <alignment horizontal="justify" vertical="center" wrapText="1"/>
    </xf>
    <xf numFmtId="0" fontId="151" fillId="6" borderId="44" xfId="35" applyFont="1" applyFill="1" applyBorder="1" applyAlignment="1">
      <alignment horizontal="justify" vertical="center" wrapText="1"/>
    </xf>
    <xf numFmtId="0" fontId="97" fillId="0" borderId="79" xfId="35" applyFont="1" applyBorder="1" applyAlignment="1">
      <alignment horizontal="center" vertical="center"/>
    </xf>
    <xf numFmtId="0" fontId="97" fillId="0" borderId="18" xfId="35" applyFont="1" applyBorder="1" applyAlignment="1">
      <alignment horizontal="justify" vertical="center"/>
    </xf>
    <xf numFmtId="0" fontId="97" fillId="0" borderId="19" xfId="35" applyFont="1" applyBorder="1" applyAlignment="1">
      <alignment horizontal="center" vertical="center"/>
    </xf>
    <xf numFmtId="0" fontId="97" fillId="0" borderId="32" xfId="35" applyFont="1" applyBorder="1" applyAlignment="1">
      <alignment horizontal="center" vertical="center"/>
    </xf>
    <xf numFmtId="0" fontId="97" fillId="0" borderId="3" xfId="35" applyFont="1" applyBorder="1" applyAlignment="1">
      <alignment horizontal="center" vertical="center"/>
    </xf>
    <xf numFmtId="0" fontId="97" fillId="0" borderId="6" xfId="35" applyFont="1" applyBorder="1" applyAlignment="1">
      <alignment horizontal="justify" vertical="center"/>
    </xf>
    <xf numFmtId="0" fontId="97" fillId="0" borderId="80" xfId="35" applyFont="1" applyBorder="1" applyAlignment="1">
      <alignment horizontal="center" vertical="center"/>
    </xf>
    <xf numFmtId="0" fontId="97" fillId="0" borderId="79" xfId="35" applyFont="1" applyBorder="1" applyAlignment="1">
      <alignment horizontal="justify" vertical="center"/>
    </xf>
    <xf numFmtId="9" fontId="12" fillId="6" borderId="15" xfId="36" applyFont="1" applyFill="1" applyBorder="1" applyAlignment="1">
      <alignment horizontal="center" vertical="center"/>
    </xf>
    <xf numFmtId="9" fontId="12" fillId="6" borderId="10" xfId="36" applyFont="1" applyFill="1" applyBorder="1" applyAlignment="1">
      <alignment horizontal="center" vertical="center"/>
    </xf>
    <xf numFmtId="9" fontId="12" fillId="0" borderId="10" xfId="36" applyFont="1" applyBorder="1" applyAlignment="1">
      <alignment horizontal="center" vertical="center"/>
    </xf>
    <xf numFmtId="9" fontId="12" fillId="6" borderId="35" xfId="36" applyFont="1" applyFill="1" applyBorder="1" applyAlignment="1">
      <alignment horizontal="center" vertical="center"/>
    </xf>
    <xf numFmtId="0" fontId="20" fillId="35" borderId="83" xfId="35" applyFont="1" applyFill="1" applyBorder="1" applyAlignment="1">
      <alignment horizontal="justify" vertical="center"/>
    </xf>
    <xf numFmtId="10" fontId="189" fillId="6" borderId="79" xfId="3" applyNumberFormat="1" applyFont="1" applyFill="1" applyBorder="1" applyAlignment="1">
      <alignment horizontal="center" vertical="center" wrapText="1"/>
    </xf>
    <xf numFmtId="10" fontId="30" fillId="6" borderId="79" xfId="1" applyNumberFormat="1" applyFont="1" applyFill="1" applyBorder="1" applyAlignment="1">
      <alignment horizontal="center" vertical="center" wrapText="1"/>
    </xf>
    <xf numFmtId="0" fontId="30" fillId="12" borderId="79" xfId="1" applyFont="1" applyFill="1" applyBorder="1" applyAlignment="1">
      <alignment horizontal="center" vertical="center" wrapText="1"/>
    </xf>
    <xf numFmtId="0" fontId="2" fillId="6" borderId="19" xfId="35" applyFont="1" applyFill="1" applyBorder="1" applyAlignment="1">
      <alignment horizontal="justify" vertical="center"/>
    </xf>
    <xf numFmtId="0" fontId="2" fillId="6" borderId="79" xfId="35" applyFont="1" applyFill="1" applyBorder="1" applyAlignment="1">
      <alignment horizontal="justify" vertical="center"/>
    </xf>
    <xf numFmtId="0" fontId="139" fillId="0" borderId="95" xfId="35" applyFont="1" applyBorder="1" applyAlignment="1">
      <alignment horizontal="justify" vertical="center" wrapText="1"/>
    </xf>
    <xf numFmtId="0" fontId="2" fillId="6" borderId="79" xfId="35" applyFont="1" applyFill="1" applyBorder="1" applyAlignment="1">
      <alignment vertical="center"/>
    </xf>
    <xf numFmtId="0" fontId="191" fillId="6" borderId="95" xfId="35" applyFont="1" applyFill="1" applyBorder="1" applyAlignment="1">
      <alignment horizontal="justify" vertical="center" wrapText="1"/>
    </xf>
    <xf numFmtId="0" fontId="2" fillId="6" borderId="32" xfId="35" applyFont="1" applyFill="1" applyBorder="1" applyAlignment="1">
      <alignment horizontal="justify" vertical="center"/>
    </xf>
    <xf numFmtId="0" fontId="24" fillId="30" borderId="80" xfId="0" applyFont="1" applyFill="1" applyBorder="1" applyAlignment="1">
      <alignment horizontal="center" vertical="center" wrapText="1"/>
    </xf>
    <xf numFmtId="0" fontId="10" fillId="0" borderId="79" xfId="0" applyFont="1" applyBorder="1" applyAlignment="1">
      <alignment horizontal="justify" vertical="center"/>
    </xf>
    <xf numFmtId="0" fontId="16" fillId="7" borderId="79" xfId="0" applyFont="1" applyFill="1" applyBorder="1" applyAlignment="1">
      <alignment horizontal="center" vertical="center"/>
    </xf>
    <xf numFmtId="10" fontId="16" fillId="7" borderId="79" xfId="0" applyNumberFormat="1" applyFont="1" applyFill="1" applyBorder="1" applyAlignment="1">
      <alignment horizontal="center" vertical="center"/>
    </xf>
    <xf numFmtId="0" fontId="16" fillId="11" borderId="79" xfId="0" applyFont="1" applyFill="1" applyBorder="1" applyAlignment="1">
      <alignment horizontal="center" vertical="center"/>
    </xf>
    <xf numFmtId="10" fontId="16" fillId="11" borderId="79" xfId="0" applyNumberFormat="1" applyFont="1" applyFill="1" applyBorder="1" applyAlignment="1">
      <alignment horizontal="center" vertical="center"/>
    </xf>
    <xf numFmtId="10" fontId="16" fillId="12" borderId="79" xfId="0" applyNumberFormat="1" applyFont="1" applyFill="1" applyBorder="1" applyAlignment="1">
      <alignment horizontal="center" vertical="center" wrapText="1"/>
    </xf>
    <xf numFmtId="0" fontId="10" fillId="6" borderId="0" xfId="27" applyFont="1" applyFill="1" applyAlignment="1">
      <alignment vertical="center"/>
    </xf>
    <xf numFmtId="0" fontId="17" fillId="43" borderId="16" xfId="1" applyFont="1" applyFill="1" applyBorder="1" applyAlignment="1">
      <alignment horizontal="center" vertical="center" wrapText="1"/>
    </xf>
    <xf numFmtId="10" fontId="55" fillId="6" borderId="2" xfId="3" applyNumberFormat="1" applyFont="1" applyFill="1" applyBorder="1" applyAlignment="1">
      <alignment horizontal="center" vertical="center"/>
    </xf>
    <xf numFmtId="0" fontId="196" fillId="18" borderId="9" xfId="8" applyFont="1" applyFill="1" applyBorder="1" applyAlignment="1">
      <alignment horizontal="center"/>
    </xf>
    <xf numFmtId="0" fontId="196" fillId="18" borderId="2" xfId="8" applyFont="1" applyFill="1" applyBorder="1" applyAlignment="1">
      <alignment horizontal="center"/>
    </xf>
    <xf numFmtId="0" fontId="196" fillId="18" borderId="10" xfId="8" applyFont="1" applyFill="1" applyBorder="1" applyAlignment="1">
      <alignment horizontal="center"/>
    </xf>
    <xf numFmtId="1" fontId="10" fillId="0" borderId="0" xfId="1" applyNumberFormat="1" applyAlignment="1">
      <alignment horizontal="center" vertical="center"/>
    </xf>
    <xf numFmtId="9" fontId="10" fillId="0" borderId="0" xfId="1" applyNumberFormat="1" applyAlignment="1">
      <alignment vertical="center"/>
    </xf>
    <xf numFmtId="10" fontId="19" fillId="12" borderId="79" xfId="0" applyNumberFormat="1" applyFont="1" applyFill="1" applyBorder="1" applyAlignment="1">
      <alignment horizontal="center" vertical="center" wrapText="1"/>
    </xf>
    <xf numFmtId="0" fontId="19" fillId="7" borderId="79" xfId="0" applyFont="1" applyFill="1" applyBorder="1" applyAlignment="1">
      <alignment horizontal="center" vertical="center"/>
    </xf>
    <xf numFmtId="10" fontId="19" fillId="7" borderId="79" xfId="0" applyNumberFormat="1" applyFont="1" applyFill="1" applyBorder="1" applyAlignment="1">
      <alignment horizontal="center" vertical="center"/>
    </xf>
    <xf numFmtId="0" fontId="19" fillId="12" borderId="79" xfId="0" applyFont="1" applyFill="1" applyBorder="1" applyAlignment="1">
      <alignment horizontal="center" vertical="center"/>
    </xf>
    <xf numFmtId="10" fontId="19" fillId="11" borderId="79" xfId="0" applyNumberFormat="1" applyFont="1" applyFill="1" applyBorder="1" applyAlignment="1">
      <alignment horizontal="center" vertical="center"/>
    </xf>
    <xf numFmtId="0" fontId="12" fillId="6" borderId="83" xfId="0" applyFont="1" applyFill="1" applyBorder="1" applyAlignment="1">
      <alignment vertical="center"/>
    </xf>
    <xf numFmtId="0" fontId="12" fillId="6" borderId="3" xfId="0" applyFont="1" applyFill="1" applyBorder="1" applyAlignment="1">
      <alignment horizontal="justify" vertical="center"/>
    </xf>
    <xf numFmtId="165" fontId="19" fillId="7" borderId="79" xfId="20" applyNumberFormat="1" applyFont="1" applyFill="1" applyBorder="1" applyAlignment="1">
      <alignment horizontal="center" vertical="center"/>
    </xf>
    <xf numFmtId="10" fontId="19" fillId="11" borderId="79" xfId="20" applyNumberFormat="1" applyFont="1" applyFill="1" applyBorder="1" applyAlignment="1">
      <alignment horizontal="center" vertical="center"/>
    </xf>
    <xf numFmtId="0" fontId="20" fillId="6" borderId="16" xfId="1" applyFont="1" applyFill="1" applyBorder="1" applyAlignment="1">
      <alignment horizontal="left" vertical="center" wrapText="1"/>
    </xf>
    <xf numFmtId="9" fontId="62" fillId="6" borderId="79" xfId="1" applyNumberFormat="1" applyFont="1" applyFill="1" applyBorder="1"/>
    <xf numFmtId="165" fontId="61" fillId="6" borderId="79" xfId="3" applyNumberFormat="1" applyFont="1" applyFill="1" applyBorder="1" applyAlignment="1">
      <alignment vertical="center" wrapText="1"/>
    </xf>
    <xf numFmtId="9" fontId="61" fillId="30" borderId="79" xfId="0" applyNumberFormat="1" applyFont="1" applyFill="1" applyBorder="1" applyAlignment="1">
      <alignment horizontal="center" vertical="center" wrapText="1" readingOrder="1"/>
    </xf>
    <xf numFmtId="0" fontId="62" fillId="57" borderId="79" xfId="1" applyFont="1" applyFill="1" applyBorder="1" applyAlignment="1">
      <alignment horizontal="center" vertical="center"/>
    </xf>
    <xf numFmtId="9" fontId="62" fillId="6" borderId="32" xfId="1" applyNumberFormat="1" applyFont="1" applyFill="1" applyBorder="1" applyAlignment="1">
      <alignment horizontal="center" vertical="center" wrapText="1"/>
    </xf>
    <xf numFmtId="9" fontId="61" fillId="6" borderId="32" xfId="1" applyNumberFormat="1" applyFont="1" applyFill="1" applyBorder="1" applyAlignment="1">
      <alignment horizontal="center" vertical="center" wrapText="1"/>
    </xf>
    <xf numFmtId="9" fontId="62" fillId="6" borderId="32" xfId="1" applyNumberFormat="1" applyFont="1" applyFill="1" applyBorder="1"/>
    <xf numFmtId="165" fontId="61" fillId="6" borderId="32" xfId="3" applyNumberFormat="1" applyFont="1" applyFill="1" applyBorder="1" applyAlignment="1">
      <alignment vertical="center" wrapText="1"/>
    </xf>
    <xf numFmtId="165" fontId="61" fillId="57" borderId="32" xfId="3" applyNumberFormat="1" applyFont="1" applyFill="1" applyBorder="1" applyAlignment="1">
      <alignment horizontal="center" vertical="center" wrapText="1"/>
    </xf>
    <xf numFmtId="0" fontId="61" fillId="0" borderId="80" xfId="1" applyFont="1" applyBorder="1"/>
    <xf numFmtId="165" fontId="61" fillId="0" borderId="80" xfId="1" applyNumberFormat="1" applyFont="1" applyBorder="1"/>
    <xf numFmtId="9" fontId="61" fillId="6" borderId="79" xfId="3" applyFont="1" applyFill="1" applyBorder="1" applyAlignment="1">
      <alignment horizontal="center" vertical="center" wrapText="1"/>
    </xf>
    <xf numFmtId="165" fontId="62" fillId="19" borderId="79" xfId="3" applyNumberFormat="1" applyFont="1" applyFill="1" applyBorder="1" applyAlignment="1">
      <alignment horizontal="center" vertical="center" wrapText="1"/>
    </xf>
    <xf numFmtId="165" fontId="61" fillId="19" borderId="79" xfId="3" applyNumberFormat="1" applyFont="1" applyFill="1" applyBorder="1" applyAlignment="1">
      <alignment horizontal="center" vertical="center" wrapText="1"/>
    </xf>
    <xf numFmtId="10" fontId="61" fillId="19" borderId="79" xfId="3" applyNumberFormat="1" applyFont="1" applyFill="1" applyBorder="1" applyAlignment="1">
      <alignment horizontal="center" vertical="center" wrapText="1"/>
    </xf>
    <xf numFmtId="10" fontId="62" fillId="19" borderId="79" xfId="3" applyNumberFormat="1" applyFont="1" applyFill="1" applyBorder="1" applyAlignment="1">
      <alignment horizontal="center" vertical="center" wrapText="1"/>
    </xf>
    <xf numFmtId="10" fontId="62" fillId="6" borderId="79" xfId="3" applyNumberFormat="1" applyFont="1" applyFill="1" applyBorder="1" applyAlignment="1">
      <alignment horizontal="center" vertical="center" wrapText="1"/>
    </xf>
    <xf numFmtId="10" fontId="61" fillId="6" borderId="79" xfId="3" applyNumberFormat="1" applyFont="1" applyFill="1" applyBorder="1" applyAlignment="1">
      <alignment horizontal="center" vertical="center" wrapText="1"/>
    </xf>
    <xf numFmtId="0" fontId="62" fillId="6" borderId="79" xfId="1" applyFont="1" applyFill="1" applyBorder="1" applyAlignment="1">
      <alignment horizontal="justify" vertical="center" wrapText="1"/>
    </xf>
    <xf numFmtId="9" fontId="62" fillId="6" borderId="79" xfId="1" applyNumberFormat="1" applyFont="1" applyFill="1" applyBorder="1" applyAlignment="1">
      <alignment horizontal="justify" vertical="center" wrapText="1"/>
    </xf>
    <xf numFmtId="167" fontId="62" fillId="6" borderId="79" xfId="13" applyNumberFormat="1" applyFont="1" applyFill="1" applyBorder="1" applyAlignment="1">
      <alignment horizontal="justify" vertical="center" wrapText="1"/>
    </xf>
    <xf numFmtId="167" fontId="62" fillId="6" borderId="79" xfId="13" applyNumberFormat="1" applyFont="1" applyFill="1" applyBorder="1" applyAlignment="1">
      <alignment vertical="center" wrapText="1"/>
    </xf>
    <xf numFmtId="165" fontId="62" fillId="57" borderId="79" xfId="3" applyNumberFormat="1" applyFont="1" applyFill="1" applyBorder="1" applyAlignment="1">
      <alignment horizontal="center" vertical="center" wrapText="1"/>
    </xf>
    <xf numFmtId="0" fontId="62" fillId="0" borderId="79" xfId="1" applyFont="1" applyBorder="1"/>
    <xf numFmtId="165" fontId="62" fillId="6" borderId="79" xfId="3" applyNumberFormat="1" applyFont="1" applyFill="1" applyBorder="1" applyAlignment="1">
      <alignment horizontal="center" vertical="center"/>
    </xf>
    <xf numFmtId="9" fontId="62" fillId="57" borderId="79" xfId="3" applyFont="1" applyFill="1" applyBorder="1" applyAlignment="1">
      <alignment horizontal="center" vertical="center" wrapText="1"/>
    </xf>
    <xf numFmtId="2" fontId="62" fillId="6" borderId="79" xfId="1" applyNumberFormat="1" applyFont="1" applyFill="1" applyBorder="1" applyAlignment="1">
      <alignment horizontal="center"/>
    </xf>
    <xf numFmtId="0" fontId="62" fillId="6" borderId="79" xfId="1" applyFont="1" applyFill="1" applyBorder="1" applyAlignment="1">
      <alignment horizontal="center"/>
    </xf>
    <xf numFmtId="0" fontId="62" fillId="13" borderId="79" xfId="1" applyFont="1" applyFill="1" applyBorder="1" applyAlignment="1">
      <alignment horizontal="center"/>
    </xf>
    <xf numFmtId="0" fontId="62" fillId="57" borderId="79" xfId="1" applyFont="1" applyFill="1" applyBorder="1" applyAlignment="1">
      <alignment horizontal="center"/>
    </xf>
    <xf numFmtId="10" fontId="62" fillId="35" borderId="79" xfId="1" applyNumberFormat="1" applyFont="1" applyFill="1" applyBorder="1" applyAlignment="1">
      <alignment horizontal="center"/>
    </xf>
    <xf numFmtId="10" fontId="62" fillId="13" borderId="79" xfId="1" applyNumberFormat="1" applyFont="1" applyFill="1" applyBorder="1" applyAlignment="1">
      <alignment horizontal="center"/>
    </xf>
    <xf numFmtId="10" fontId="61" fillId="57" borderId="79" xfId="3" applyNumberFormat="1" applyFont="1" applyFill="1" applyBorder="1" applyAlignment="1">
      <alignment horizontal="center" vertical="center" wrapText="1"/>
    </xf>
    <xf numFmtId="0" fontId="62" fillId="35" borderId="79" xfId="1" applyFont="1" applyFill="1" applyBorder="1" applyAlignment="1">
      <alignment horizontal="center" vertical="center"/>
    </xf>
    <xf numFmtId="171" fontId="61" fillId="35" borderId="79" xfId="31" applyNumberFormat="1" applyFont="1" applyFill="1" applyBorder="1" applyAlignment="1">
      <alignment horizontal="center" vertical="center" wrapText="1"/>
    </xf>
    <xf numFmtId="10" fontId="61" fillId="0" borderId="80" xfId="1" applyNumberFormat="1" applyFont="1" applyBorder="1"/>
    <xf numFmtId="10" fontId="31" fillId="35" borderId="79" xfId="3" applyNumberFormat="1" applyFont="1" applyFill="1" applyBorder="1" applyAlignment="1">
      <alignment horizontal="center" vertical="center" wrapText="1"/>
    </xf>
    <xf numFmtId="10" fontId="31" fillId="35" borderId="79" xfId="3" applyNumberFormat="1" applyFont="1" applyFill="1" applyBorder="1" applyAlignment="1">
      <alignment horizontal="center" vertical="center"/>
    </xf>
    <xf numFmtId="10" fontId="31" fillId="35" borderId="79" xfId="0" applyNumberFormat="1" applyFont="1" applyFill="1" applyBorder="1" applyAlignment="1">
      <alignment horizontal="center" vertical="center" wrapText="1" readingOrder="1"/>
    </xf>
    <xf numFmtId="10" fontId="199" fillId="6" borderId="79" xfId="3" applyNumberFormat="1" applyFont="1" applyFill="1" applyBorder="1" applyAlignment="1">
      <alignment horizontal="center" vertical="center" wrapText="1"/>
    </xf>
    <xf numFmtId="10" fontId="10" fillId="35" borderId="79" xfId="0" applyNumberFormat="1" applyFont="1" applyFill="1" applyBorder="1" applyAlignment="1">
      <alignment horizontal="center" vertical="center" wrapText="1" readingOrder="1"/>
    </xf>
    <xf numFmtId="9" fontId="61" fillId="6" borderId="83" xfId="3" applyFont="1" applyFill="1" applyBorder="1" applyAlignment="1">
      <alignment horizontal="center" vertical="center" wrapText="1"/>
    </xf>
    <xf numFmtId="10" fontId="62" fillId="57" borderId="83" xfId="3" applyNumberFormat="1" applyFont="1" applyFill="1" applyBorder="1" applyAlignment="1">
      <alignment horizontal="center" vertical="center" wrapText="1"/>
    </xf>
    <xf numFmtId="10" fontId="62" fillId="35" borderId="83" xfId="3" applyNumberFormat="1" applyFont="1" applyFill="1" applyBorder="1" applyAlignment="1">
      <alignment horizontal="center" vertical="center" wrapText="1"/>
    </xf>
    <xf numFmtId="10" fontId="16" fillId="35" borderId="83" xfId="3" applyNumberFormat="1" applyFont="1" applyFill="1" applyBorder="1" applyAlignment="1">
      <alignment horizontal="center" vertical="center" wrapText="1"/>
    </xf>
    <xf numFmtId="9" fontId="17" fillId="6" borderId="83" xfId="1" applyNumberFormat="1" applyFont="1" applyFill="1" applyBorder="1" applyAlignment="1">
      <alignment horizontal="center" vertical="center" wrapText="1"/>
    </xf>
    <xf numFmtId="165" fontId="17" fillId="64" borderId="83" xfId="19" applyNumberFormat="1" applyFont="1" applyFill="1" applyBorder="1" applyAlignment="1">
      <alignment horizontal="center" vertical="center" wrapText="1"/>
    </xf>
    <xf numFmtId="165" fontId="62" fillId="6" borderId="57" xfId="3" applyNumberFormat="1" applyFont="1" applyFill="1" applyBorder="1" applyAlignment="1">
      <alignment horizontal="center" vertical="center" wrapText="1"/>
    </xf>
    <xf numFmtId="9" fontId="61" fillId="6" borderId="57" xfId="3" applyFont="1" applyFill="1" applyBorder="1" applyAlignment="1">
      <alignment horizontal="center" vertical="center" wrapText="1"/>
    </xf>
    <xf numFmtId="0" fontId="62" fillId="6" borderId="57" xfId="1" applyFont="1" applyFill="1" applyBorder="1" applyAlignment="1">
      <alignment horizontal="center" vertical="center"/>
    </xf>
    <xf numFmtId="0" fontId="61" fillId="6" borderId="57" xfId="1" applyFont="1" applyFill="1" applyBorder="1" applyAlignment="1">
      <alignment horizontal="center" vertical="center"/>
    </xf>
    <xf numFmtId="0" fontId="62" fillId="57" borderId="57" xfId="1" applyFont="1" applyFill="1" applyBorder="1" applyAlignment="1">
      <alignment horizontal="center" vertical="center"/>
    </xf>
    <xf numFmtId="10" fontId="62" fillId="35" borderId="57" xfId="1" applyNumberFormat="1" applyFont="1" applyFill="1" applyBorder="1" applyAlignment="1">
      <alignment horizontal="center" vertical="center"/>
    </xf>
    <xf numFmtId="10" fontId="16" fillId="35" borderId="57" xfId="1" applyNumberFormat="1" applyFont="1" applyFill="1" applyBorder="1" applyAlignment="1">
      <alignment horizontal="center" vertical="center"/>
    </xf>
    <xf numFmtId="9" fontId="17" fillId="6" borderId="57" xfId="1" applyNumberFormat="1" applyFont="1" applyFill="1" applyBorder="1" applyAlignment="1">
      <alignment horizontal="center" vertical="center" wrapText="1"/>
    </xf>
    <xf numFmtId="165" fontId="17" fillId="64" borderId="58" xfId="19" applyNumberFormat="1" applyFont="1" applyFill="1" applyBorder="1" applyAlignment="1">
      <alignment horizontal="center" vertical="center" wrapText="1"/>
    </xf>
    <xf numFmtId="0" fontId="62" fillId="6" borderId="80" xfId="1" applyFont="1" applyFill="1" applyBorder="1" applyAlignment="1">
      <alignment horizontal="justify" vertical="center" wrapText="1"/>
    </xf>
    <xf numFmtId="9" fontId="62" fillId="6" borderId="80" xfId="1" applyNumberFormat="1" applyFont="1" applyFill="1" applyBorder="1" applyAlignment="1">
      <alignment horizontal="justify" vertical="center" wrapText="1"/>
    </xf>
    <xf numFmtId="167" fontId="62" fillId="6" borderId="80" xfId="13" applyNumberFormat="1" applyFont="1" applyFill="1" applyBorder="1" applyAlignment="1">
      <alignment horizontal="justify" vertical="center" wrapText="1"/>
    </xf>
    <xf numFmtId="167" fontId="62" fillId="6" borderId="80" xfId="33" applyNumberFormat="1" applyFont="1" applyFill="1" applyBorder="1" applyAlignment="1">
      <alignment horizontal="justify" vertical="center" wrapText="1"/>
    </xf>
    <xf numFmtId="0" fontId="62" fillId="30" borderId="80" xfId="0" applyFont="1" applyFill="1" applyBorder="1" applyAlignment="1">
      <alignment horizontal="center" vertical="center" wrapText="1" readingOrder="1"/>
    </xf>
    <xf numFmtId="165" fontId="10" fillId="6" borderId="80" xfId="19" applyNumberFormat="1" applyFont="1" applyFill="1" applyBorder="1" applyAlignment="1">
      <alignment horizontal="center" vertical="center"/>
    </xf>
    <xf numFmtId="165" fontId="12" fillId="6" borderId="90" xfId="3" applyNumberFormat="1" applyFont="1" applyFill="1" applyBorder="1" applyAlignment="1">
      <alignment horizontal="center" vertical="center" wrapText="1"/>
    </xf>
    <xf numFmtId="165" fontId="62" fillId="6" borderId="19" xfId="3" applyNumberFormat="1" applyFont="1" applyFill="1" applyBorder="1" applyAlignment="1">
      <alignment horizontal="center" vertical="center" wrapText="1"/>
    </xf>
    <xf numFmtId="9" fontId="61" fillId="6" borderId="19" xfId="3" applyFont="1" applyFill="1" applyBorder="1" applyAlignment="1">
      <alignment horizontal="center" vertical="center" wrapText="1"/>
    </xf>
    <xf numFmtId="0" fontId="62" fillId="6" borderId="19" xfId="1" applyFont="1" applyFill="1" applyBorder="1" applyAlignment="1">
      <alignment horizontal="center" vertical="center"/>
    </xf>
    <xf numFmtId="0" fontId="61" fillId="6" borderId="19" xfId="1" applyFont="1" applyFill="1" applyBorder="1" applyAlignment="1">
      <alignment horizontal="center" vertical="center"/>
    </xf>
    <xf numFmtId="0" fontId="62" fillId="57" borderId="19" xfId="1" applyFont="1" applyFill="1" applyBorder="1" applyAlignment="1">
      <alignment horizontal="center" vertical="center"/>
    </xf>
    <xf numFmtId="10" fontId="62" fillId="35" borderId="19" xfId="1" applyNumberFormat="1" applyFont="1" applyFill="1" applyBorder="1" applyAlignment="1">
      <alignment horizontal="center" vertical="center"/>
    </xf>
    <xf numFmtId="10" fontId="16" fillId="35" borderId="19" xfId="1" applyNumberFormat="1" applyFont="1" applyFill="1" applyBorder="1" applyAlignment="1">
      <alignment horizontal="center" vertical="center"/>
    </xf>
    <xf numFmtId="9" fontId="17" fillId="6" borderId="19" xfId="1" applyNumberFormat="1" applyFont="1" applyFill="1" applyBorder="1" applyAlignment="1">
      <alignment horizontal="center" vertical="center" wrapText="1"/>
    </xf>
    <xf numFmtId="165" fontId="17" fillId="6" borderId="15" xfId="19" applyNumberFormat="1" applyFont="1" applyFill="1" applyBorder="1" applyAlignment="1">
      <alignment horizontal="center" vertical="center" wrapText="1"/>
    </xf>
    <xf numFmtId="165" fontId="17" fillId="6" borderId="10" xfId="19" applyNumberFormat="1" applyFont="1" applyFill="1" applyBorder="1" applyAlignment="1">
      <alignment horizontal="center" vertical="center" wrapText="1"/>
    </xf>
    <xf numFmtId="0" fontId="62" fillId="6" borderId="32" xfId="1" applyFont="1" applyFill="1" applyBorder="1" applyAlignment="1">
      <alignment horizontal="justify" vertical="center" wrapText="1"/>
    </xf>
    <xf numFmtId="9" fontId="62" fillId="6" borderId="32" xfId="1" applyNumberFormat="1" applyFont="1" applyFill="1" applyBorder="1" applyAlignment="1">
      <alignment horizontal="justify" vertical="center" wrapText="1"/>
    </xf>
    <xf numFmtId="9" fontId="62" fillId="6" borderId="32" xfId="32" applyFont="1" applyFill="1" applyBorder="1" applyAlignment="1">
      <alignment horizontal="justify" vertical="center" wrapText="1"/>
    </xf>
    <xf numFmtId="165" fontId="12" fillId="6" borderId="32" xfId="3" applyNumberFormat="1" applyFont="1" applyFill="1" applyBorder="1" applyAlignment="1">
      <alignment horizontal="center" vertical="center" wrapText="1"/>
    </xf>
    <xf numFmtId="165" fontId="12" fillId="6" borderId="35" xfId="3" applyNumberFormat="1" applyFont="1" applyFill="1" applyBorder="1" applyAlignment="1">
      <alignment horizontal="center" vertical="center" wrapText="1"/>
    </xf>
    <xf numFmtId="0" fontId="12" fillId="6" borderId="82" xfId="1" applyFont="1" applyFill="1" applyBorder="1" applyAlignment="1">
      <alignment vertical="center" wrapText="1"/>
    </xf>
    <xf numFmtId="167" fontId="62" fillId="57" borderId="83" xfId="34" applyNumberFormat="1" applyFont="1" applyFill="1" applyBorder="1" applyAlignment="1">
      <alignment horizontal="center" vertical="center" wrapText="1"/>
    </xf>
    <xf numFmtId="10" fontId="62" fillId="35" borderId="83" xfId="34" applyNumberFormat="1" applyFont="1" applyFill="1" applyBorder="1" applyAlignment="1">
      <alignment horizontal="center" vertical="center" wrapText="1"/>
    </xf>
    <xf numFmtId="10" fontId="16" fillId="35" borderId="83" xfId="34" applyNumberFormat="1" applyFont="1" applyFill="1" applyBorder="1" applyAlignment="1">
      <alignment horizontal="center" vertical="center" wrapText="1"/>
    </xf>
    <xf numFmtId="165" fontId="12" fillId="6" borderId="83" xfId="3" applyNumberFormat="1" applyFont="1" applyFill="1" applyBorder="1" applyAlignment="1">
      <alignment horizontal="center" vertical="center" wrapText="1"/>
    </xf>
    <xf numFmtId="165" fontId="12" fillId="6" borderId="94" xfId="3" applyNumberFormat="1" applyFont="1" applyFill="1" applyBorder="1" applyAlignment="1">
      <alignment horizontal="center" vertical="center" wrapText="1"/>
    </xf>
    <xf numFmtId="10" fontId="62" fillId="6" borderId="19" xfId="3" applyNumberFormat="1" applyFont="1" applyFill="1" applyBorder="1" applyAlignment="1">
      <alignment horizontal="center" vertical="center" wrapText="1"/>
    </xf>
    <xf numFmtId="10" fontId="61" fillId="6" borderId="19" xfId="3" applyNumberFormat="1" applyFont="1" applyFill="1" applyBorder="1" applyAlignment="1">
      <alignment horizontal="center" vertical="center" wrapText="1"/>
    </xf>
    <xf numFmtId="165" fontId="62" fillId="57" borderId="19" xfId="3" applyNumberFormat="1" applyFont="1" applyFill="1" applyBorder="1" applyAlignment="1">
      <alignment horizontal="center" vertical="center" wrapText="1"/>
    </xf>
    <xf numFmtId="10" fontId="62" fillId="35" borderId="19" xfId="3" applyNumberFormat="1" applyFont="1" applyFill="1" applyBorder="1" applyAlignment="1">
      <alignment horizontal="center" vertical="center" wrapText="1"/>
    </xf>
    <xf numFmtId="10" fontId="16" fillId="35" borderId="19" xfId="3" applyNumberFormat="1" applyFont="1" applyFill="1" applyBorder="1" applyAlignment="1">
      <alignment horizontal="center" vertical="center" wrapText="1"/>
    </xf>
    <xf numFmtId="165" fontId="17" fillId="64" borderId="15" xfId="19" applyNumberFormat="1" applyFont="1" applyFill="1" applyBorder="1" applyAlignment="1">
      <alignment horizontal="center" vertical="center" wrapText="1"/>
    </xf>
    <xf numFmtId="165" fontId="17" fillId="64" borderId="10" xfId="19" applyNumberFormat="1" applyFont="1" applyFill="1" applyBorder="1" applyAlignment="1">
      <alignment horizontal="center" vertical="center" wrapText="1"/>
    </xf>
    <xf numFmtId="165" fontId="12" fillId="64" borderId="10" xfId="3" applyNumberFormat="1" applyFont="1" applyFill="1" applyBorder="1" applyAlignment="1">
      <alignment horizontal="center" vertical="center" wrapText="1"/>
    </xf>
    <xf numFmtId="0" fontId="62" fillId="0" borderId="32" xfId="1" applyFont="1" applyBorder="1"/>
    <xf numFmtId="9" fontId="61" fillId="6" borderId="32" xfId="3" applyFont="1" applyFill="1" applyBorder="1" applyAlignment="1">
      <alignment horizontal="center" vertical="center"/>
    </xf>
    <xf numFmtId="9" fontId="62" fillId="57" borderId="32" xfId="3" applyFont="1" applyFill="1" applyBorder="1" applyAlignment="1">
      <alignment horizontal="center" vertical="center"/>
    </xf>
    <xf numFmtId="10" fontId="62" fillId="35" borderId="32" xfId="3" applyNumberFormat="1" applyFont="1" applyFill="1" applyBorder="1" applyAlignment="1">
      <alignment horizontal="center" vertical="center"/>
    </xf>
    <xf numFmtId="10" fontId="16" fillId="35" borderId="32" xfId="3" applyNumberFormat="1" applyFont="1" applyFill="1" applyBorder="1" applyAlignment="1">
      <alignment horizontal="center" vertical="center"/>
    </xf>
    <xf numFmtId="9" fontId="17" fillId="6" borderId="32" xfId="1" applyNumberFormat="1" applyFont="1" applyFill="1" applyBorder="1" applyAlignment="1">
      <alignment horizontal="center" vertical="center" wrapText="1"/>
    </xf>
    <xf numFmtId="165" fontId="17" fillId="64" borderId="35" xfId="19" applyNumberFormat="1" applyFont="1" applyFill="1" applyBorder="1" applyAlignment="1">
      <alignment horizontal="center" vertical="center" wrapText="1"/>
    </xf>
    <xf numFmtId="0" fontId="62" fillId="0" borderId="19" xfId="1" applyFont="1" applyBorder="1"/>
    <xf numFmtId="9" fontId="61" fillId="6" borderId="19" xfId="3" applyFont="1" applyFill="1" applyBorder="1" applyAlignment="1">
      <alignment horizontal="center" vertical="center"/>
    </xf>
    <xf numFmtId="9" fontId="62" fillId="57" borderId="19" xfId="3" applyFont="1" applyFill="1" applyBorder="1" applyAlignment="1">
      <alignment horizontal="center" vertical="center"/>
    </xf>
    <xf numFmtId="10" fontId="62" fillId="35" borderId="19" xfId="3" applyNumberFormat="1" applyFont="1" applyFill="1" applyBorder="1" applyAlignment="1">
      <alignment horizontal="center" vertical="center"/>
    </xf>
    <xf numFmtId="10" fontId="16" fillId="35" borderId="19" xfId="3" applyNumberFormat="1" applyFont="1" applyFill="1" applyBorder="1" applyAlignment="1">
      <alignment horizontal="center" vertical="center"/>
    </xf>
    <xf numFmtId="9" fontId="62" fillId="6" borderId="19" xfId="3" applyFont="1" applyFill="1" applyBorder="1" applyAlignment="1">
      <alignment horizontal="center" vertical="center"/>
    </xf>
    <xf numFmtId="165" fontId="62" fillId="6" borderId="19" xfId="3" applyNumberFormat="1" applyFont="1" applyFill="1" applyBorder="1" applyAlignment="1">
      <alignment horizontal="center" vertical="center"/>
    </xf>
    <xf numFmtId="165" fontId="62" fillId="6" borderId="3" xfId="3" applyNumberFormat="1" applyFont="1" applyFill="1" applyBorder="1" applyAlignment="1">
      <alignment horizontal="center" vertical="center" wrapText="1"/>
    </xf>
    <xf numFmtId="10" fontId="62" fillId="6" borderId="3" xfId="3" applyNumberFormat="1" applyFont="1" applyFill="1" applyBorder="1" applyAlignment="1">
      <alignment horizontal="center" vertical="center"/>
    </xf>
    <xf numFmtId="9" fontId="62" fillId="6" borderId="3" xfId="3" applyFont="1" applyFill="1" applyBorder="1" applyAlignment="1">
      <alignment horizontal="center" vertical="center"/>
    </xf>
    <xf numFmtId="9" fontId="62" fillId="57" borderId="3" xfId="3" applyFont="1" applyFill="1" applyBorder="1" applyAlignment="1">
      <alignment horizontal="center" vertical="center"/>
    </xf>
    <xf numFmtId="10" fontId="62" fillId="35" borderId="3" xfId="3" applyNumberFormat="1" applyFont="1" applyFill="1" applyBorder="1" applyAlignment="1">
      <alignment horizontal="center" vertical="center"/>
    </xf>
    <xf numFmtId="0" fontId="62" fillId="0" borderId="83" xfId="1" applyFont="1" applyBorder="1"/>
    <xf numFmtId="9" fontId="61" fillId="6" borderId="83" xfId="3" applyFont="1" applyFill="1" applyBorder="1" applyAlignment="1">
      <alignment horizontal="center" vertical="center"/>
    </xf>
    <xf numFmtId="9" fontId="62" fillId="57" borderId="83" xfId="3" applyFont="1" applyFill="1" applyBorder="1" applyAlignment="1">
      <alignment horizontal="center" vertical="center"/>
    </xf>
    <xf numFmtId="10" fontId="62" fillId="35" borderId="83" xfId="3" applyNumberFormat="1" applyFont="1" applyFill="1" applyBorder="1" applyAlignment="1">
      <alignment horizontal="center" vertical="center"/>
    </xf>
    <xf numFmtId="10" fontId="16" fillId="35" borderId="83" xfId="3" applyNumberFormat="1" applyFont="1" applyFill="1" applyBorder="1" applyAlignment="1">
      <alignment horizontal="center" vertical="center"/>
    </xf>
    <xf numFmtId="165" fontId="17" fillId="64" borderId="94" xfId="19" applyNumberFormat="1" applyFont="1" applyFill="1" applyBorder="1" applyAlignment="1">
      <alignment horizontal="center" vertical="center" wrapText="1"/>
    </xf>
    <xf numFmtId="165" fontId="62" fillId="6" borderId="32" xfId="3" applyNumberFormat="1" applyFont="1" applyFill="1" applyBorder="1" applyAlignment="1">
      <alignment horizontal="center" vertical="center" wrapText="1"/>
    </xf>
    <xf numFmtId="9" fontId="62" fillId="6" borderId="19" xfId="1" applyNumberFormat="1" applyFont="1" applyFill="1" applyBorder="1" applyAlignment="1">
      <alignment horizontal="center" vertical="center" wrapText="1"/>
    </xf>
    <xf numFmtId="9" fontId="61" fillId="6" borderId="19" xfId="1" applyNumberFormat="1" applyFont="1" applyFill="1" applyBorder="1" applyAlignment="1">
      <alignment horizontal="center" vertical="center" wrapText="1"/>
    </xf>
    <xf numFmtId="0" fontId="62" fillId="6" borderId="19" xfId="1" applyFont="1" applyFill="1" applyBorder="1" applyAlignment="1">
      <alignment horizontal="center"/>
    </xf>
    <xf numFmtId="9" fontId="61" fillId="6" borderId="32" xfId="3" applyFont="1" applyFill="1" applyBorder="1" applyAlignment="1">
      <alignment horizontal="center" vertical="center" wrapText="1"/>
    </xf>
    <xf numFmtId="9" fontId="62" fillId="30" borderId="32" xfId="0" applyNumberFormat="1" applyFont="1" applyFill="1" applyBorder="1" applyAlignment="1">
      <alignment horizontal="center" vertical="center" wrapText="1" readingOrder="1"/>
    </xf>
    <xf numFmtId="9" fontId="62" fillId="57" borderId="32" xfId="0" applyNumberFormat="1" applyFont="1" applyFill="1" applyBorder="1" applyAlignment="1">
      <alignment horizontal="center" vertical="center" wrapText="1" readingOrder="1"/>
    </xf>
    <xf numFmtId="10" fontId="62" fillId="35" borderId="32" xfId="0" applyNumberFormat="1" applyFont="1" applyFill="1" applyBorder="1" applyAlignment="1">
      <alignment horizontal="center" vertical="center" wrapText="1" readingOrder="1"/>
    </xf>
    <xf numFmtId="10" fontId="24" fillId="35" borderId="32" xfId="0" applyNumberFormat="1" applyFont="1" applyFill="1" applyBorder="1" applyAlignment="1">
      <alignment horizontal="center" vertical="center" wrapText="1" readingOrder="1"/>
    </xf>
    <xf numFmtId="165" fontId="62" fillId="6" borderId="80" xfId="1" applyNumberFormat="1" applyFont="1" applyFill="1" applyBorder="1" applyAlignment="1">
      <alignment horizontal="center" vertical="center" wrapText="1"/>
    </xf>
    <xf numFmtId="165" fontId="61" fillId="6" borderId="80" xfId="1" applyNumberFormat="1" applyFont="1" applyFill="1" applyBorder="1" applyAlignment="1">
      <alignment horizontal="center" vertical="center" wrapText="1"/>
    </xf>
    <xf numFmtId="10" fontId="199" fillId="35" borderId="19" xfId="3" applyNumberFormat="1" applyFont="1" applyFill="1" applyBorder="1" applyAlignment="1">
      <alignment horizontal="center" vertical="center" wrapText="1"/>
    </xf>
    <xf numFmtId="165" fontId="62" fillId="6" borderId="32" xfId="1" applyNumberFormat="1" applyFont="1" applyFill="1" applyBorder="1" applyAlignment="1">
      <alignment horizontal="center" vertical="center" wrapText="1"/>
    </xf>
    <xf numFmtId="165" fontId="61" fillId="6" borderId="32" xfId="1" applyNumberFormat="1" applyFont="1" applyFill="1" applyBorder="1" applyAlignment="1">
      <alignment horizontal="center" vertical="center" wrapText="1"/>
    </xf>
    <xf numFmtId="10" fontId="61" fillId="35" borderId="32" xfId="3" applyNumberFormat="1" applyFont="1" applyFill="1" applyBorder="1" applyAlignment="1">
      <alignment horizontal="center" vertical="center" wrapText="1"/>
    </xf>
    <xf numFmtId="10" fontId="12" fillId="35" borderId="32" xfId="3" applyNumberFormat="1" applyFont="1" applyFill="1" applyBorder="1" applyAlignment="1">
      <alignment horizontal="center" vertical="center" wrapText="1"/>
    </xf>
    <xf numFmtId="165" fontId="61" fillId="6" borderId="83" xfId="3" applyNumberFormat="1" applyFont="1" applyFill="1" applyBorder="1" applyAlignment="1">
      <alignment horizontal="center" vertical="center" wrapText="1"/>
    </xf>
    <xf numFmtId="9" fontId="62" fillId="0" borderId="83" xfId="0" applyNumberFormat="1" applyFont="1" applyBorder="1" applyAlignment="1">
      <alignment horizontal="center" vertical="center" wrapText="1" readingOrder="1"/>
    </xf>
    <xf numFmtId="9" fontId="62" fillId="6" borderId="83" xfId="0" applyNumberFormat="1" applyFont="1" applyFill="1" applyBorder="1" applyAlignment="1">
      <alignment horizontal="center" vertical="center" wrapText="1" readingOrder="1"/>
    </xf>
    <xf numFmtId="9" fontId="62" fillId="57" borderId="83" xfId="0" applyNumberFormat="1" applyFont="1" applyFill="1" applyBorder="1" applyAlignment="1">
      <alignment horizontal="center" vertical="center" wrapText="1" readingOrder="1"/>
    </xf>
    <xf numFmtId="10" fontId="62" fillId="35" borderId="83" xfId="0" applyNumberFormat="1" applyFont="1" applyFill="1" applyBorder="1" applyAlignment="1">
      <alignment horizontal="center" vertical="center" wrapText="1" readingOrder="1"/>
    </xf>
    <xf numFmtId="10" fontId="16" fillId="35" borderId="83" xfId="0" applyNumberFormat="1" applyFont="1" applyFill="1" applyBorder="1" applyAlignment="1">
      <alignment horizontal="center" vertical="center" wrapText="1" readingOrder="1"/>
    </xf>
    <xf numFmtId="9" fontId="62" fillId="6" borderId="57" xfId="1" applyNumberFormat="1" applyFont="1" applyFill="1" applyBorder="1" applyAlignment="1">
      <alignment horizontal="center" vertical="center" wrapText="1"/>
    </xf>
    <xf numFmtId="9" fontId="61" fillId="6" borderId="57" xfId="1" applyNumberFormat="1" applyFont="1" applyFill="1" applyBorder="1" applyAlignment="1">
      <alignment horizontal="center" vertical="center" wrapText="1"/>
    </xf>
    <xf numFmtId="9" fontId="62" fillId="6" borderId="57" xfId="1" applyNumberFormat="1" applyFont="1" applyFill="1" applyBorder="1"/>
    <xf numFmtId="165" fontId="61" fillId="6" borderId="57" xfId="3" applyNumberFormat="1" applyFont="1" applyFill="1" applyBorder="1" applyAlignment="1">
      <alignment vertical="center" wrapText="1"/>
    </xf>
    <xf numFmtId="165" fontId="61" fillId="57" borderId="57" xfId="3" applyNumberFormat="1" applyFont="1" applyFill="1" applyBorder="1" applyAlignment="1">
      <alignment horizontal="center" vertical="center" wrapText="1"/>
    </xf>
    <xf numFmtId="10" fontId="12" fillId="35" borderId="57" xfId="3" applyNumberFormat="1" applyFont="1" applyFill="1" applyBorder="1" applyAlignment="1">
      <alignment horizontal="center" vertical="center" wrapText="1"/>
    </xf>
    <xf numFmtId="165" fontId="61" fillId="35" borderId="57" xfId="3" applyNumberFormat="1" applyFont="1" applyFill="1" applyBorder="1" applyAlignment="1">
      <alignment horizontal="center" vertical="center" wrapText="1"/>
    </xf>
    <xf numFmtId="10" fontId="61" fillId="35" borderId="57" xfId="3" applyNumberFormat="1" applyFont="1" applyFill="1" applyBorder="1" applyAlignment="1">
      <alignment horizontal="center" vertical="center" wrapText="1"/>
    </xf>
    <xf numFmtId="165" fontId="12" fillId="35" borderId="57" xfId="3" applyNumberFormat="1" applyFont="1" applyFill="1" applyBorder="1" applyAlignment="1">
      <alignment horizontal="center" vertical="center" wrapText="1"/>
    </xf>
    <xf numFmtId="9" fontId="62" fillId="6" borderId="105" xfId="1" applyNumberFormat="1" applyFont="1" applyFill="1" applyBorder="1" applyAlignment="1">
      <alignment horizontal="center" vertical="center" wrapText="1"/>
    </xf>
    <xf numFmtId="9" fontId="62" fillId="6" borderId="105" xfId="1" applyNumberFormat="1" applyFont="1" applyFill="1" applyBorder="1"/>
    <xf numFmtId="165" fontId="61" fillId="6" borderId="105" xfId="3" applyNumberFormat="1" applyFont="1" applyFill="1" applyBorder="1" applyAlignment="1">
      <alignment vertical="center" wrapText="1"/>
    </xf>
    <xf numFmtId="165" fontId="61" fillId="57" borderId="105" xfId="3" applyNumberFormat="1" applyFont="1" applyFill="1" applyBorder="1" applyAlignment="1">
      <alignment horizontal="center" vertical="center" wrapText="1"/>
    </xf>
    <xf numFmtId="10" fontId="199" fillId="35" borderId="105" xfId="3" applyNumberFormat="1" applyFont="1" applyFill="1" applyBorder="1" applyAlignment="1">
      <alignment horizontal="center" vertical="center" wrapText="1"/>
    </xf>
    <xf numFmtId="10" fontId="12" fillId="35" borderId="105" xfId="3" applyNumberFormat="1" applyFont="1" applyFill="1" applyBorder="1" applyAlignment="1">
      <alignment horizontal="center" vertical="center" wrapText="1"/>
    </xf>
    <xf numFmtId="9" fontId="17" fillId="6" borderId="105" xfId="1" applyNumberFormat="1" applyFont="1" applyFill="1" applyBorder="1" applyAlignment="1">
      <alignment horizontal="center" vertical="center" wrapText="1"/>
    </xf>
    <xf numFmtId="165" fontId="17" fillId="64" borderId="40" xfId="19" applyNumberFormat="1" applyFont="1" applyFill="1" applyBorder="1" applyAlignment="1">
      <alignment horizontal="center" vertical="center" wrapText="1"/>
    </xf>
    <xf numFmtId="9" fontId="62" fillId="6" borderId="19" xfId="1" applyNumberFormat="1" applyFont="1" applyFill="1" applyBorder="1"/>
    <xf numFmtId="165" fontId="61" fillId="6" borderId="19" xfId="3" applyNumberFormat="1" applyFont="1" applyFill="1" applyBorder="1" applyAlignment="1">
      <alignment vertical="center" wrapText="1"/>
    </xf>
    <xf numFmtId="9" fontId="61" fillId="30" borderId="19" xfId="0" applyNumberFormat="1" applyFont="1" applyFill="1" applyBorder="1" applyAlignment="1">
      <alignment horizontal="center" vertical="center" wrapText="1" readingOrder="1"/>
    </xf>
    <xf numFmtId="9" fontId="62" fillId="57" borderId="19" xfId="0" applyNumberFormat="1" applyFont="1" applyFill="1" applyBorder="1" applyAlignment="1">
      <alignment horizontal="center" vertical="center" wrapText="1" readingOrder="1"/>
    </xf>
    <xf numFmtId="9" fontId="61" fillId="30" borderId="32" xfId="0" applyNumberFormat="1" applyFont="1" applyFill="1" applyBorder="1" applyAlignment="1">
      <alignment horizontal="center" vertical="center" wrapText="1" readingOrder="1"/>
    </xf>
    <xf numFmtId="0" fontId="26" fillId="19" borderId="79" xfId="1" applyFont="1" applyFill="1" applyBorder="1" applyAlignment="1">
      <alignment horizontal="justify" vertical="center" wrapText="1"/>
    </xf>
    <xf numFmtId="9" fontId="0" fillId="39" borderId="79" xfId="1" applyNumberFormat="1" applyFont="1" applyFill="1" applyBorder="1" applyAlignment="1">
      <alignment horizontal="center" vertical="center" wrapText="1"/>
    </xf>
    <xf numFmtId="0" fontId="108" fillId="3" borderId="79" xfId="1" applyFont="1" applyFill="1" applyBorder="1" applyAlignment="1">
      <alignment horizontal="justify" vertical="center" wrapText="1"/>
    </xf>
    <xf numFmtId="174" fontId="47" fillId="6" borderId="79" xfId="31" applyNumberFormat="1" applyFont="1" applyFill="1" applyBorder="1" applyAlignment="1">
      <alignment horizontal="center" vertical="center" wrapText="1"/>
    </xf>
    <xf numFmtId="174" fontId="20" fillId="6" borderId="79" xfId="1" applyNumberFormat="1" applyFont="1" applyFill="1" applyBorder="1" applyAlignment="1">
      <alignment horizontal="center" vertical="center" wrapText="1"/>
    </xf>
    <xf numFmtId="0" fontId="183" fillId="51" borderId="57" xfId="0" applyFont="1" applyFill="1" applyBorder="1" applyAlignment="1">
      <alignment horizontal="justify" vertical="center" wrapText="1"/>
    </xf>
    <xf numFmtId="0" fontId="200" fillId="6" borderId="79" xfId="0" applyFont="1" applyFill="1" applyBorder="1" applyAlignment="1">
      <alignment horizontal="left" vertical="center" wrapText="1"/>
    </xf>
    <xf numFmtId="0" fontId="201" fillId="6" borderId="79" xfId="0" applyFont="1" applyFill="1" applyBorder="1" applyAlignment="1">
      <alignment horizontal="left" vertical="center" wrapText="1"/>
    </xf>
    <xf numFmtId="0" fontId="202" fillId="6" borderId="79" xfId="0" applyFont="1" applyFill="1" applyBorder="1" applyAlignment="1">
      <alignment horizontal="center" vertical="center" wrapText="1"/>
    </xf>
    <xf numFmtId="0" fontId="76" fillId="6" borderId="79" xfId="0" applyFont="1" applyFill="1" applyBorder="1" applyAlignment="1">
      <alignment horizontal="center" vertical="center" wrapText="1"/>
    </xf>
    <xf numFmtId="0" fontId="76" fillId="12" borderId="79" xfId="0" applyFont="1" applyFill="1" applyBorder="1" applyAlignment="1">
      <alignment horizontal="center" vertical="center" wrapText="1"/>
    </xf>
    <xf numFmtId="0" fontId="76" fillId="30" borderId="80" xfId="0" applyFont="1" applyFill="1" applyBorder="1" applyAlignment="1">
      <alignment horizontal="center" vertical="center" wrapText="1"/>
    </xf>
    <xf numFmtId="9" fontId="45" fillId="0" borderId="0" xfId="19" applyFont="1" applyAlignment="1">
      <alignment vertical="center"/>
    </xf>
    <xf numFmtId="0" fontId="55" fillId="6" borderId="0" xfId="17" applyFont="1" applyFill="1" applyAlignment="1">
      <alignment vertical="center"/>
    </xf>
    <xf numFmtId="0" fontId="10" fillId="0" borderId="0" xfId="17" applyAlignment="1">
      <alignment vertical="center" wrapText="1"/>
    </xf>
    <xf numFmtId="0" fontId="10" fillId="0" borderId="0" xfId="1" applyAlignment="1">
      <alignment horizontal="center" vertical="center"/>
    </xf>
    <xf numFmtId="9" fontId="12" fillId="6" borderId="10" xfId="36" applyFont="1" applyFill="1" applyBorder="1" applyAlignment="1">
      <alignment horizontal="center" vertical="center"/>
    </xf>
    <xf numFmtId="0" fontId="97" fillId="0" borderId="79" xfId="35" applyFont="1" applyBorder="1" applyAlignment="1">
      <alignment horizontal="justify" vertical="center"/>
    </xf>
    <xf numFmtId="0" fontId="10" fillId="0" borderId="6" xfId="35" applyFont="1" applyBorder="1" applyAlignment="1">
      <alignment horizontal="justify" vertical="center"/>
    </xf>
    <xf numFmtId="0" fontId="63" fillId="0" borderId="79" xfId="35" applyFont="1" applyBorder="1" applyAlignment="1">
      <alignment horizontal="center" vertical="center"/>
    </xf>
    <xf numFmtId="0" fontId="10" fillId="0" borderId="80" xfId="35" applyFont="1" applyBorder="1" applyAlignment="1">
      <alignment horizontal="justify" vertical="center"/>
    </xf>
    <xf numFmtId="0" fontId="10" fillId="0" borderId="83" xfId="35" applyFont="1" applyBorder="1" applyAlignment="1">
      <alignment horizontal="justify" vertical="center"/>
    </xf>
    <xf numFmtId="0" fontId="63" fillId="0" borderId="3" xfId="35" applyFont="1" applyBorder="1" applyAlignment="1">
      <alignment horizontal="center" vertical="center"/>
    </xf>
    <xf numFmtId="0" fontId="10" fillId="0" borderId="82" xfId="35" applyFont="1" applyBorder="1" applyAlignment="1">
      <alignment horizontal="justify" vertical="center"/>
    </xf>
    <xf numFmtId="0" fontId="63" fillId="0" borderId="83" xfId="35" applyFont="1" applyBorder="1" applyAlignment="1">
      <alignment horizontal="center" vertical="center"/>
    </xf>
    <xf numFmtId="0" fontId="10" fillId="0" borderId="85" xfId="35" applyFont="1" applyBorder="1" applyAlignment="1">
      <alignment horizontal="justify" vertical="center"/>
    </xf>
    <xf numFmtId="0" fontId="63" fillId="0" borderId="80" xfId="35" applyFont="1" applyBorder="1" applyAlignment="1">
      <alignment horizontal="center" vertical="center"/>
    </xf>
    <xf numFmtId="0" fontId="10" fillId="0" borderId="79" xfId="35" applyFont="1" applyBorder="1" applyAlignment="1">
      <alignment horizontal="justify" vertical="center"/>
    </xf>
    <xf numFmtId="0" fontId="16" fillId="3" borderId="83" xfId="1" applyFont="1" applyFill="1" applyBorder="1" applyAlignment="1">
      <alignment horizontal="justify" vertical="center" wrapText="1"/>
    </xf>
    <xf numFmtId="0" fontId="10" fillId="6" borderId="79" xfId="1" applyFill="1" applyBorder="1" applyAlignment="1">
      <alignment horizontal="justify" vertical="center" wrapText="1"/>
    </xf>
    <xf numFmtId="0" fontId="10" fillId="6" borderId="83" xfId="1" applyFill="1" applyBorder="1" applyAlignment="1">
      <alignment horizontal="justify" vertical="center" wrapText="1"/>
    </xf>
    <xf numFmtId="0" fontId="14" fillId="3" borderId="19" xfId="1" applyFont="1" applyFill="1" applyBorder="1" applyAlignment="1">
      <alignment horizontal="justify" vertical="center" wrapText="1"/>
    </xf>
    <xf numFmtId="0" fontId="10" fillId="6" borderId="19" xfId="1" applyFill="1" applyBorder="1" applyAlignment="1">
      <alignment horizontal="justify" vertical="center" wrapText="1"/>
    </xf>
    <xf numFmtId="171" fontId="19" fillId="56" borderId="87" xfId="31" applyNumberFormat="1" applyFont="1" applyFill="1" applyBorder="1" applyAlignment="1">
      <alignment horizontal="center" vertical="center" wrapText="1"/>
    </xf>
    <xf numFmtId="171" fontId="19" fillId="56" borderId="8" xfId="31" applyNumberFormat="1" applyFont="1" applyFill="1" applyBorder="1" applyAlignment="1">
      <alignment horizontal="center" vertical="center" wrapText="1"/>
    </xf>
    <xf numFmtId="171" fontId="19" fillId="56" borderId="84" xfId="31" applyNumberFormat="1" applyFont="1" applyFill="1" applyBorder="1" applyAlignment="1">
      <alignment horizontal="center" vertical="center" wrapText="1"/>
    </xf>
    <xf numFmtId="10" fontId="97" fillId="0" borderId="0" xfId="19" applyNumberFormat="1" applyFont="1" applyAlignment="1">
      <alignment horizontal="center" vertical="center"/>
    </xf>
    <xf numFmtId="0" fontId="1" fillId="0" borderId="0" xfId="35" applyFont="1" applyAlignment="1">
      <alignment vertical="center"/>
    </xf>
    <xf numFmtId="0" fontId="1" fillId="0" borderId="0" xfId="35" applyFont="1" applyAlignment="1">
      <alignment horizontal="center" vertical="center"/>
    </xf>
    <xf numFmtId="0" fontId="1" fillId="0" borderId="0" xfId="35" applyFont="1" applyAlignment="1">
      <alignment horizontal="justify" vertical="center"/>
    </xf>
    <xf numFmtId="10" fontId="1" fillId="0" borderId="79" xfId="35" applyNumberFormat="1" applyFont="1" applyBorder="1" applyAlignment="1">
      <alignment horizontal="center" vertical="center"/>
    </xf>
    <xf numFmtId="0" fontId="1" fillId="0" borderId="79" xfId="35" applyFont="1" applyBorder="1" applyAlignment="1">
      <alignment horizontal="center" vertical="center"/>
    </xf>
    <xf numFmtId="0" fontId="1" fillId="6" borderId="79" xfId="35" applyFont="1" applyFill="1" applyBorder="1" applyAlignment="1">
      <alignment horizontal="center" vertical="center"/>
    </xf>
    <xf numFmtId="0" fontId="203" fillId="0" borderId="10" xfId="0" applyFont="1" applyBorder="1" applyAlignment="1">
      <alignment horizontal="center"/>
    </xf>
    <xf numFmtId="9" fontId="203" fillId="0" borderId="35" xfId="19" applyFont="1" applyBorder="1" applyAlignment="1">
      <alignment horizontal="center"/>
    </xf>
    <xf numFmtId="0" fontId="45" fillId="6" borderId="79" xfId="1" applyFont="1" applyFill="1" applyBorder="1" applyAlignment="1">
      <alignment horizontal="justify" vertical="center" wrapText="1"/>
    </xf>
    <xf numFmtId="0" fontId="16" fillId="3" borderId="80" xfId="1" applyFont="1" applyFill="1" applyBorder="1" applyAlignment="1">
      <alignment horizontal="justify" vertical="center" wrapText="1"/>
    </xf>
    <xf numFmtId="9" fontId="10" fillId="42" borderId="80" xfId="1" applyNumberFormat="1" applyFill="1" applyBorder="1" applyAlignment="1">
      <alignment horizontal="center" vertical="center" wrapText="1"/>
    </xf>
    <xf numFmtId="165" fontId="10" fillId="0" borderId="90" xfId="1" applyNumberFormat="1" applyBorder="1" applyAlignment="1">
      <alignment horizontal="center" vertical="center" wrapText="1"/>
    </xf>
    <xf numFmtId="0" fontId="10" fillId="0" borderId="81" xfId="1" applyBorder="1" applyAlignment="1">
      <alignment horizontal="center" vertical="center" wrapText="1"/>
    </xf>
    <xf numFmtId="10" fontId="10" fillId="0" borderId="80" xfId="1" applyNumberFormat="1" applyBorder="1" applyAlignment="1">
      <alignment horizontal="center" vertical="center" wrapText="1"/>
    </xf>
    <xf numFmtId="0" fontId="10" fillId="0" borderId="80" xfId="1" applyBorder="1" applyAlignment="1">
      <alignment vertical="center"/>
    </xf>
    <xf numFmtId="166" fontId="10" fillId="0" borderId="80" xfId="18" applyNumberFormat="1" applyFont="1" applyBorder="1" applyAlignment="1">
      <alignment horizontal="center" vertical="center" wrapText="1"/>
    </xf>
    <xf numFmtId="165" fontId="10" fillId="0" borderId="79" xfId="1" applyNumberFormat="1" applyBorder="1" applyAlignment="1">
      <alignment horizontal="center" vertical="center" wrapText="1"/>
    </xf>
    <xf numFmtId="165" fontId="10" fillId="0" borderId="19" xfId="1" applyNumberFormat="1" applyBorder="1" applyAlignment="1">
      <alignment horizontal="center" vertical="center" wrapText="1"/>
    </xf>
    <xf numFmtId="10" fontId="10" fillId="0" borderId="19" xfId="1" applyNumberFormat="1" applyBorder="1" applyAlignment="1">
      <alignment horizontal="center" vertical="center" wrapText="1"/>
    </xf>
    <xf numFmtId="0" fontId="10" fillId="0" borderId="19" xfId="1" applyBorder="1" applyAlignment="1">
      <alignment vertical="center"/>
    </xf>
    <xf numFmtId="166" fontId="10" fillId="0" borderId="19" xfId="18" applyNumberFormat="1" applyFont="1" applyBorder="1" applyAlignment="1">
      <alignment horizontal="center" vertical="center" wrapText="1"/>
    </xf>
    <xf numFmtId="166" fontId="10" fillId="0" borderId="15" xfId="18" applyNumberFormat="1" applyFont="1" applyBorder="1" applyAlignment="1">
      <alignment horizontal="center" vertical="center" wrapText="1"/>
    </xf>
    <xf numFmtId="166" fontId="10" fillId="0" borderId="10" xfId="18" applyNumberFormat="1" applyFont="1" applyBorder="1" applyAlignment="1">
      <alignment horizontal="center" vertical="center" wrapText="1"/>
    </xf>
    <xf numFmtId="0" fontId="45" fillId="6" borderId="32" xfId="1" applyFont="1" applyFill="1" applyBorder="1" applyAlignment="1">
      <alignment horizontal="justify" vertical="center" wrapText="1"/>
    </xf>
    <xf numFmtId="0" fontId="10" fillId="0" borderId="32" xfId="1" applyBorder="1" applyAlignment="1">
      <alignment vertical="center"/>
    </xf>
    <xf numFmtId="166" fontId="10" fillId="0" borderId="32" xfId="18" applyNumberFormat="1" applyFont="1" applyBorder="1" applyAlignment="1">
      <alignment horizontal="center" vertical="center" wrapText="1"/>
    </xf>
    <xf numFmtId="166" fontId="10" fillId="0" borderId="35" xfId="18" applyNumberFormat="1" applyFont="1" applyBorder="1" applyAlignment="1">
      <alignment horizontal="center" vertical="center" wrapText="1"/>
    </xf>
    <xf numFmtId="9" fontId="19" fillId="44" borderId="19" xfId="1" applyNumberFormat="1" applyFont="1" applyFill="1" applyBorder="1" applyAlignment="1">
      <alignment horizontal="center" vertical="center" wrapText="1"/>
    </xf>
    <xf numFmtId="9" fontId="19" fillId="44" borderId="79" xfId="1" applyNumberFormat="1" applyFont="1" applyFill="1" applyBorder="1" applyAlignment="1">
      <alignment horizontal="center" vertical="center" wrapText="1"/>
    </xf>
    <xf numFmtId="9" fontId="69" fillId="44" borderId="79" xfId="1" applyNumberFormat="1" applyFont="1" applyFill="1" applyBorder="1" applyAlignment="1">
      <alignment horizontal="center" vertical="center" wrapText="1"/>
    </xf>
    <xf numFmtId="10" fontId="12" fillId="56" borderId="2" xfId="1" applyNumberFormat="1" applyFont="1" applyFill="1" applyBorder="1" applyAlignment="1">
      <alignment horizontal="center" vertical="center"/>
    </xf>
    <xf numFmtId="0" fontId="10" fillId="0" borderId="0" xfId="17" applyFont="1" applyAlignment="1">
      <alignment vertical="center"/>
    </xf>
    <xf numFmtId="0" fontId="10" fillId="6" borderId="0" xfId="17" applyFont="1" applyFill="1" applyAlignment="1">
      <alignment vertical="center"/>
    </xf>
    <xf numFmtId="0" fontId="10" fillId="28" borderId="0" xfId="17" applyFont="1" applyFill="1" applyAlignment="1">
      <alignment vertical="center"/>
    </xf>
    <xf numFmtId="0" fontId="10" fillId="0" borderId="79" xfId="17" applyFont="1" applyBorder="1" applyAlignment="1">
      <alignment horizontal="justify" vertical="center"/>
    </xf>
    <xf numFmtId="0" fontId="10" fillId="0" borderId="79" xfId="17" applyFont="1" applyBorder="1" applyAlignment="1">
      <alignment horizontal="justify" vertical="center" wrapText="1"/>
    </xf>
    <xf numFmtId="0" fontId="10" fillId="0" borderId="0" xfId="17" applyFont="1" applyAlignment="1">
      <alignment horizontal="justify" vertical="center" wrapText="1"/>
    </xf>
    <xf numFmtId="0" fontId="10" fillId="0" borderId="79" xfId="17" applyFont="1" applyBorder="1" applyAlignment="1">
      <alignment horizontal="center" vertical="center" wrapText="1"/>
    </xf>
    <xf numFmtId="0" fontId="10" fillId="0" borderId="0" xfId="17" applyFont="1" applyAlignment="1">
      <alignment horizontal="center" vertical="center" wrapText="1"/>
    </xf>
    <xf numFmtId="0" fontId="10" fillId="0" borderId="0" xfId="17" applyFont="1" applyAlignment="1">
      <alignment horizontal="justify" vertical="center"/>
    </xf>
    <xf numFmtId="10" fontId="17" fillId="6" borderId="79" xfId="1" applyNumberFormat="1" applyFont="1" applyFill="1" applyBorder="1" applyAlignment="1">
      <alignment horizontal="center" vertical="center" wrapText="1"/>
    </xf>
    <xf numFmtId="10" fontId="19" fillId="6" borderId="79" xfId="3" applyNumberFormat="1" applyFont="1" applyFill="1" applyBorder="1" applyAlignment="1">
      <alignment horizontal="center" vertical="center" wrapText="1"/>
    </xf>
    <xf numFmtId="0" fontId="17" fillId="6" borderId="79" xfId="1" applyFont="1" applyFill="1" applyBorder="1" applyAlignment="1">
      <alignment horizontal="justify" vertical="center" wrapText="1"/>
    </xf>
    <xf numFmtId="165" fontId="10" fillId="6" borderId="79" xfId="3" applyNumberFormat="1" applyFont="1" applyFill="1" applyBorder="1" applyAlignment="1">
      <alignment horizontal="center" vertical="center" wrapText="1"/>
    </xf>
    <xf numFmtId="10" fontId="61" fillId="35" borderId="79" xfId="3" applyNumberFormat="1" applyFont="1" applyFill="1" applyBorder="1" applyAlignment="1">
      <alignment horizontal="center" vertical="center" wrapText="1"/>
    </xf>
    <xf numFmtId="10" fontId="12" fillId="35" borderId="79" xfId="3" applyNumberFormat="1" applyFont="1" applyFill="1" applyBorder="1" applyAlignment="1">
      <alignment horizontal="center" vertical="center" wrapText="1"/>
    </xf>
    <xf numFmtId="165" fontId="61" fillId="6" borderId="79" xfId="3" applyNumberFormat="1" applyFont="1" applyFill="1" applyBorder="1" applyAlignment="1">
      <alignment horizontal="center" vertical="center" wrapText="1"/>
    </xf>
    <xf numFmtId="165" fontId="61" fillId="6" borderId="105" xfId="3" applyNumberFormat="1" applyFont="1" applyFill="1" applyBorder="1" applyAlignment="1">
      <alignment horizontal="center" vertical="center" wrapText="1"/>
    </xf>
    <xf numFmtId="171" fontId="61" fillId="35" borderId="87" xfId="31" applyNumberFormat="1" applyFont="1" applyFill="1" applyBorder="1" applyAlignment="1">
      <alignment horizontal="center" vertical="center" wrapText="1"/>
    </xf>
    <xf numFmtId="171" fontId="61" fillId="35" borderId="84" xfId="31" applyNumberFormat="1" applyFont="1" applyFill="1" applyBorder="1" applyAlignment="1">
      <alignment horizontal="center" vertical="center" wrapText="1"/>
    </xf>
    <xf numFmtId="165" fontId="61" fillId="57" borderId="79" xfId="3" applyNumberFormat="1" applyFont="1" applyFill="1" applyBorder="1" applyAlignment="1">
      <alignment horizontal="center" vertical="center" wrapText="1"/>
    </xf>
    <xf numFmtId="165" fontId="61" fillId="6" borderId="32" xfId="3" applyNumberFormat="1" applyFont="1" applyFill="1" applyBorder="1" applyAlignment="1">
      <alignment horizontal="center" vertical="center" wrapText="1"/>
    </xf>
    <xf numFmtId="9" fontId="61" fillId="6" borderId="79" xfId="1" applyNumberFormat="1" applyFont="1" applyFill="1" applyBorder="1" applyAlignment="1">
      <alignment horizontal="center" vertical="center" wrapText="1"/>
    </xf>
    <xf numFmtId="10" fontId="61" fillId="35" borderId="19" xfId="3" applyNumberFormat="1" applyFont="1" applyFill="1" applyBorder="1" applyAlignment="1">
      <alignment horizontal="center" vertical="center" wrapText="1"/>
    </xf>
    <xf numFmtId="10" fontId="12" fillId="35" borderId="19" xfId="3" applyNumberFormat="1" applyFont="1" applyFill="1" applyBorder="1" applyAlignment="1">
      <alignment horizontal="center" vertical="center" wrapText="1"/>
    </xf>
    <xf numFmtId="9" fontId="61" fillId="6" borderId="105" xfId="1" applyNumberFormat="1" applyFont="1" applyFill="1" applyBorder="1" applyAlignment="1">
      <alignment horizontal="center" vertical="center" wrapText="1"/>
    </xf>
    <xf numFmtId="165" fontId="61" fillId="6" borderId="19" xfId="3" applyNumberFormat="1" applyFont="1" applyFill="1" applyBorder="1" applyAlignment="1">
      <alignment horizontal="center" vertical="center" wrapText="1"/>
    </xf>
    <xf numFmtId="165" fontId="61" fillId="57" borderId="19" xfId="3" applyNumberFormat="1" applyFont="1" applyFill="1" applyBorder="1" applyAlignment="1">
      <alignment horizontal="center" vertical="center" wrapText="1"/>
    </xf>
    <xf numFmtId="165" fontId="61" fillId="6" borderId="57" xfId="3" applyNumberFormat="1" applyFont="1" applyFill="1" applyBorder="1" applyAlignment="1">
      <alignment horizontal="center" vertical="center" wrapText="1"/>
    </xf>
    <xf numFmtId="9" fontId="62" fillId="30" borderId="57" xfId="0" applyNumberFormat="1" applyFont="1" applyFill="1" applyBorder="1" applyAlignment="1">
      <alignment horizontal="center" vertical="center" wrapText="1" readingOrder="1"/>
    </xf>
    <xf numFmtId="0" fontId="20" fillId="6" borderId="82" xfId="1" applyFont="1" applyFill="1" applyBorder="1" applyAlignment="1">
      <alignment horizontal="left" vertical="center" wrapText="1"/>
    </xf>
    <xf numFmtId="165" fontId="61" fillId="6" borderId="80" xfId="3" applyNumberFormat="1" applyFont="1" applyFill="1" applyBorder="1" applyAlignment="1">
      <alignment horizontal="center" vertical="center" wrapText="1"/>
    </xf>
    <xf numFmtId="9" fontId="62" fillId="6" borderId="79" xfId="1" applyNumberFormat="1" applyFont="1" applyFill="1" applyBorder="1" applyAlignment="1">
      <alignment horizontal="center" vertical="center" wrapText="1"/>
    </xf>
    <xf numFmtId="9" fontId="62" fillId="6" borderId="83" xfId="1" applyNumberFormat="1" applyFont="1" applyFill="1" applyBorder="1" applyAlignment="1">
      <alignment horizontal="center" vertical="center" wrapText="1"/>
    </xf>
    <xf numFmtId="165" fontId="62" fillId="6" borderId="83" xfId="3" applyNumberFormat="1" applyFont="1" applyFill="1" applyBorder="1" applyAlignment="1">
      <alignment horizontal="center" vertical="center" wrapText="1"/>
    </xf>
    <xf numFmtId="10" fontId="62" fillId="35" borderId="79" xfId="0" applyNumberFormat="1" applyFont="1" applyFill="1" applyBorder="1" applyAlignment="1">
      <alignment horizontal="center" vertical="center" wrapText="1" readingOrder="1"/>
    </xf>
    <xf numFmtId="9" fontId="62" fillId="0" borderId="79" xfId="0" applyNumberFormat="1" applyFont="1" applyBorder="1" applyAlignment="1">
      <alignment horizontal="center" vertical="center" wrapText="1" readingOrder="1"/>
    </xf>
    <xf numFmtId="9" fontId="62" fillId="57" borderId="79" xfId="0" applyNumberFormat="1" applyFont="1" applyFill="1" applyBorder="1" applyAlignment="1">
      <alignment horizontal="center" vertical="center" wrapText="1" readingOrder="1"/>
    </xf>
    <xf numFmtId="10" fontId="16" fillId="35" borderId="79" xfId="0" applyNumberFormat="1" applyFont="1" applyFill="1" applyBorder="1" applyAlignment="1">
      <alignment horizontal="center" vertical="center" wrapText="1" readingOrder="1"/>
    </xf>
    <xf numFmtId="9" fontId="62" fillId="30" borderId="79" xfId="0" applyNumberFormat="1" applyFont="1" applyFill="1" applyBorder="1" applyAlignment="1">
      <alignment horizontal="center" vertical="center" wrapText="1" readingOrder="1"/>
    </xf>
    <xf numFmtId="165" fontId="62" fillId="6" borderId="79" xfId="1" applyNumberFormat="1" applyFont="1" applyFill="1" applyBorder="1" applyAlignment="1">
      <alignment horizontal="center" vertical="center" wrapText="1"/>
    </xf>
    <xf numFmtId="10" fontId="62" fillId="35" borderId="79" xfId="3" applyNumberFormat="1" applyFont="1" applyFill="1" applyBorder="1" applyAlignment="1">
      <alignment horizontal="center" vertical="center" wrapText="1"/>
    </xf>
    <xf numFmtId="10" fontId="16" fillId="35" borderId="79" xfId="3" applyNumberFormat="1" applyFont="1" applyFill="1" applyBorder="1" applyAlignment="1">
      <alignment horizontal="center" vertical="center" wrapText="1"/>
    </xf>
    <xf numFmtId="9" fontId="62" fillId="30" borderId="19" xfId="0" applyNumberFormat="1" applyFont="1" applyFill="1" applyBorder="1" applyAlignment="1">
      <alignment horizontal="center" vertical="center" wrapText="1" readingOrder="1"/>
    </xf>
    <xf numFmtId="10" fontId="62" fillId="35" borderId="19" xfId="0" applyNumberFormat="1" applyFont="1" applyFill="1" applyBorder="1" applyAlignment="1">
      <alignment horizontal="center" vertical="center" wrapText="1" readingOrder="1"/>
    </xf>
    <xf numFmtId="10" fontId="62" fillId="57" borderId="79" xfId="3" applyNumberFormat="1" applyFont="1" applyFill="1" applyBorder="1" applyAlignment="1">
      <alignment horizontal="center" vertical="center" wrapText="1"/>
    </xf>
    <xf numFmtId="9" fontId="62" fillId="57" borderId="79" xfId="3" applyFont="1" applyFill="1" applyBorder="1" applyAlignment="1">
      <alignment horizontal="center" vertical="center"/>
    </xf>
    <xf numFmtId="10" fontId="62" fillId="35" borderId="79" xfId="3" applyNumberFormat="1" applyFont="1" applyFill="1" applyBorder="1" applyAlignment="1">
      <alignment horizontal="center" vertical="center"/>
    </xf>
    <xf numFmtId="10" fontId="16" fillId="35" borderId="79" xfId="3" applyNumberFormat="1" applyFont="1" applyFill="1" applyBorder="1" applyAlignment="1">
      <alignment horizontal="center" vertical="center"/>
    </xf>
    <xf numFmtId="9" fontId="61" fillId="6" borderId="79" xfId="3" applyFont="1" applyFill="1" applyBorder="1" applyAlignment="1">
      <alignment horizontal="center" vertical="center"/>
    </xf>
    <xf numFmtId="167" fontId="61" fillId="6" borderId="83" xfId="34" applyNumberFormat="1" applyFont="1" applyFill="1" applyBorder="1" applyAlignment="1">
      <alignment horizontal="center" vertical="center" wrapText="1"/>
    </xf>
    <xf numFmtId="167" fontId="61" fillId="6" borderId="79" xfId="34" applyNumberFormat="1" applyFont="1" applyFill="1" applyBorder="1" applyAlignment="1">
      <alignment vertical="center" wrapText="1"/>
    </xf>
    <xf numFmtId="167" fontId="61" fillId="6" borderId="79" xfId="34" applyNumberFormat="1" applyFont="1" applyFill="1" applyBorder="1" applyAlignment="1">
      <alignment horizontal="center" vertical="center" wrapText="1"/>
    </xf>
    <xf numFmtId="167" fontId="62" fillId="57" borderId="79" xfId="34" applyNumberFormat="1" applyFont="1" applyFill="1" applyBorder="1" applyAlignment="1">
      <alignment horizontal="center" vertical="center" wrapText="1"/>
    </xf>
    <xf numFmtId="167" fontId="62" fillId="35" borderId="79" xfId="34" applyNumberFormat="1" applyFont="1" applyFill="1" applyBorder="1" applyAlignment="1">
      <alignment horizontal="center" vertical="center" wrapText="1"/>
    </xf>
    <xf numFmtId="165" fontId="61" fillId="6" borderId="79" xfId="1" applyNumberFormat="1" applyFont="1" applyFill="1" applyBorder="1" applyAlignment="1">
      <alignment horizontal="center" vertical="center" wrapText="1"/>
    </xf>
    <xf numFmtId="10" fontId="61" fillId="6" borderId="79" xfId="1" applyNumberFormat="1" applyFont="1" applyFill="1" applyBorder="1" applyAlignment="1">
      <alignment horizontal="center" vertical="center" wrapText="1"/>
    </xf>
    <xf numFmtId="0" fontId="200" fillId="30" borderId="79" xfId="0" applyFont="1" applyFill="1" applyBorder="1" applyAlignment="1">
      <alignment horizontal="left" vertical="center" wrapText="1"/>
    </xf>
    <xf numFmtId="0" fontId="201" fillId="30" borderId="79" xfId="0" applyFont="1" applyFill="1" applyBorder="1" applyAlignment="1">
      <alignment horizontal="left" vertical="center" wrapText="1"/>
    </xf>
    <xf numFmtId="0" fontId="202" fillId="30" borderId="79" xfId="0" applyFont="1" applyFill="1" applyBorder="1" applyAlignment="1">
      <alignment horizontal="center" vertical="center" wrapText="1"/>
    </xf>
    <xf numFmtId="0" fontId="76" fillId="28" borderId="79" xfId="0" applyFont="1" applyFill="1" applyBorder="1" applyAlignment="1">
      <alignment horizontal="center" vertical="center" wrapText="1"/>
    </xf>
    <xf numFmtId="0" fontId="76" fillId="53" borderId="79" xfId="0" applyFont="1" applyFill="1" applyBorder="1" applyAlignment="1">
      <alignment horizontal="center" vertical="center" wrapText="1"/>
    </xf>
    <xf numFmtId="0" fontId="55" fillId="0" borderId="0" xfId="17" applyFont="1" applyAlignment="1">
      <alignment vertical="center"/>
    </xf>
    <xf numFmtId="0" fontId="30" fillId="6" borderId="79" xfId="0" applyFont="1" applyFill="1" applyBorder="1" applyAlignment="1">
      <alignment horizontal="center" vertical="center" wrapText="1"/>
    </xf>
    <xf numFmtId="0" fontId="30" fillId="28" borderId="79" xfId="0" applyFont="1" applyFill="1" applyBorder="1" applyAlignment="1">
      <alignment horizontal="center" vertical="center" wrapText="1"/>
    </xf>
    <xf numFmtId="0" fontId="30" fillId="12" borderId="79" xfId="0" applyFont="1" applyFill="1" applyBorder="1" applyAlignment="1">
      <alignment horizontal="center" vertical="center" wrapText="1"/>
    </xf>
    <xf numFmtId="0" fontId="204" fillId="30" borderId="79" xfId="0" applyFont="1" applyFill="1" applyBorder="1" applyAlignment="1">
      <alignment horizontal="center" vertical="center" wrapText="1"/>
    </xf>
    <xf numFmtId="0" fontId="205" fillId="12" borderId="0" xfId="7" applyFont="1" applyFill="1" applyAlignment="1">
      <alignment horizontal="center" vertical="center"/>
    </xf>
    <xf numFmtId="0" fontId="193" fillId="0" borderId="0" xfId="7" applyFont="1" applyAlignment="1">
      <alignment horizontal="center" vertical="center"/>
    </xf>
    <xf numFmtId="0" fontId="207" fillId="6" borderId="79" xfId="1" applyFont="1" applyFill="1" applyBorder="1" applyAlignment="1">
      <alignment horizontal="justify" vertical="center" wrapText="1"/>
    </xf>
    <xf numFmtId="0" fontId="12" fillId="40" borderId="79" xfId="1" applyFont="1" applyFill="1" applyBorder="1" applyAlignment="1">
      <alignment horizontal="justify" vertical="center" wrapText="1"/>
    </xf>
    <xf numFmtId="10" fontId="10" fillId="0" borderId="0" xfId="19" applyNumberFormat="1" applyFont="1"/>
    <xf numFmtId="9" fontId="84" fillId="21" borderId="79" xfId="3" applyNumberFormat="1" applyFont="1" applyFill="1" applyBorder="1" applyAlignment="1">
      <alignment horizontal="center" vertical="center" wrapText="1"/>
    </xf>
    <xf numFmtId="0" fontId="23" fillId="12" borderId="38" xfId="0" applyFont="1" applyFill="1" applyBorder="1" applyAlignment="1">
      <alignment horizontal="justify" vertical="center"/>
    </xf>
    <xf numFmtId="0" fontId="23" fillId="0" borderId="38" xfId="0" applyFont="1" applyBorder="1" applyAlignment="1">
      <alignment horizontal="justify" vertical="center"/>
    </xf>
    <xf numFmtId="0" fontId="23" fillId="0" borderId="72" xfId="0" applyFont="1" applyBorder="1" applyAlignment="1">
      <alignment horizontal="justify" vertical="center"/>
    </xf>
    <xf numFmtId="0" fontId="23" fillId="0" borderId="55" xfId="0" applyFont="1" applyBorder="1" applyAlignment="1">
      <alignment horizontal="justify" vertical="center"/>
    </xf>
    <xf numFmtId="0" fontId="10" fillId="55" borderId="80" xfId="1" applyFont="1" applyFill="1" applyBorder="1" applyAlignment="1">
      <alignment horizontal="justify" vertical="center"/>
    </xf>
    <xf numFmtId="0" fontId="10" fillId="6" borderId="80" xfId="1" applyFont="1" applyFill="1" applyBorder="1" applyAlignment="1">
      <alignment horizontal="justify" vertical="center"/>
    </xf>
    <xf numFmtId="0" fontId="13" fillId="6" borderId="87" xfId="1" applyFont="1" applyFill="1" applyBorder="1" applyAlignment="1">
      <alignment vertical="center" wrapText="1"/>
    </xf>
    <xf numFmtId="0" fontId="13" fillId="6" borderId="8" xfId="1" applyFont="1" applyFill="1" applyBorder="1" applyAlignment="1">
      <alignment vertical="center" wrapText="1"/>
    </xf>
    <xf numFmtId="0" fontId="13" fillId="6" borderId="84" xfId="1" applyFont="1" applyFill="1" applyBorder="1" applyAlignment="1">
      <alignment vertical="center" wrapText="1"/>
    </xf>
    <xf numFmtId="0" fontId="13" fillId="6" borderId="3" xfId="1" applyFont="1" applyFill="1" applyBorder="1" applyAlignment="1">
      <alignment horizontal="center" vertical="center" wrapText="1"/>
    </xf>
    <xf numFmtId="0" fontId="108" fillId="6" borderId="79" xfId="1" applyFont="1" applyFill="1" applyBorder="1" applyAlignment="1">
      <alignment horizontal="justify" vertical="center" wrapText="1"/>
    </xf>
    <xf numFmtId="0" fontId="22" fillId="6" borderId="2" xfId="1" applyFont="1" applyFill="1" applyBorder="1" applyAlignment="1">
      <alignment horizontal="justify" vertical="center" wrapText="1"/>
    </xf>
    <xf numFmtId="0" fontId="23" fillId="6" borderId="2" xfId="1" applyFont="1" applyFill="1" applyBorder="1" applyAlignment="1">
      <alignment horizontal="justify" vertical="center" wrapText="1"/>
    </xf>
    <xf numFmtId="0" fontId="23" fillId="6" borderId="3" xfId="1" applyFont="1" applyFill="1" applyBorder="1" applyAlignment="1">
      <alignment horizontal="justify" vertical="center" wrapText="1"/>
    </xf>
    <xf numFmtId="0" fontId="26" fillId="6" borderId="79" xfId="1" applyFont="1" applyFill="1" applyBorder="1" applyAlignment="1">
      <alignment horizontal="justify" vertical="center" wrapText="1"/>
    </xf>
    <xf numFmtId="0" fontId="10" fillId="6" borderId="79" xfId="1" applyFont="1" applyFill="1" applyBorder="1" applyAlignment="1">
      <alignment horizontal="justify" vertical="center" wrapText="1"/>
    </xf>
    <xf numFmtId="0" fontId="10" fillId="19" borderId="79" xfId="1" applyFont="1" applyFill="1" applyBorder="1" applyAlignment="1">
      <alignment horizontal="justify" vertical="center" wrapText="1"/>
    </xf>
    <xf numFmtId="0" fontId="10" fillId="19" borderId="32" xfId="1" applyFont="1" applyFill="1" applyBorder="1" applyAlignment="1">
      <alignment horizontal="justify" vertical="center" wrapText="1"/>
    </xf>
    <xf numFmtId="0" fontId="10" fillId="19" borderId="80" xfId="1" applyFill="1" applyBorder="1" applyAlignment="1">
      <alignment horizontal="justify" vertical="center" wrapText="1"/>
    </xf>
    <xf numFmtId="0" fontId="206" fillId="6" borderId="80" xfId="1" applyFont="1" applyFill="1" applyBorder="1" applyAlignment="1">
      <alignment horizontal="justify" vertical="center" wrapText="1"/>
    </xf>
    <xf numFmtId="0" fontId="10" fillId="6" borderId="83" xfId="1" applyFont="1" applyFill="1" applyBorder="1" applyAlignment="1">
      <alignment horizontal="justify" vertical="center" wrapText="1"/>
    </xf>
    <xf numFmtId="10" fontId="19" fillId="6" borderId="83" xfId="3" applyNumberFormat="1" applyFont="1" applyFill="1" applyBorder="1" applyAlignment="1">
      <alignment horizontal="center" vertical="center" wrapText="1"/>
    </xf>
    <xf numFmtId="0" fontId="20" fillId="6" borderId="56" xfId="1" applyFont="1" applyFill="1" applyBorder="1" applyAlignment="1">
      <alignment horizontal="left" vertical="center" wrapText="1"/>
    </xf>
    <xf numFmtId="0" fontId="10" fillId="6" borderId="57" xfId="1" applyFont="1" applyFill="1" applyBorder="1" applyAlignment="1">
      <alignment horizontal="justify" vertical="center" wrapText="1"/>
    </xf>
    <xf numFmtId="10" fontId="19" fillId="6" borderId="57" xfId="3" applyNumberFormat="1" applyFont="1" applyFill="1" applyBorder="1" applyAlignment="1">
      <alignment horizontal="center" vertical="center" wrapText="1"/>
    </xf>
    <xf numFmtId="0" fontId="10" fillId="19" borderId="22" xfId="1" applyFont="1" applyFill="1" applyBorder="1" applyAlignment="1">
      <alignment horizontal="justify" vertical="center" wrapText="1"/>
    </xf>
    <xf numFmtId="0" fontId="10" fillId="19" borderId="84" xfId="1" applyFont="1" applyFill="1" applyBorder="1" applyAlignment="1">
      <alignment horizontal="justify" vertical="center" wrapText="1"/>
    </xf>
    <xf numFmtId="0" fontId="10" fillId="6" borderId="84" xfId="1" applyFont="1" applyFill="1" applyBorder="1" applyAlignment="1">
      <alignment horizontal="justify" vertical="center" wrapText="1"/>
    </xf>
    <xf numFmtId="167" fontId="19" fillId="6" borderId="79" xfId="1" applyNumberFormat="1" applyFont="1" applyFill="1" applyBorder="1" applyAlignment="1">
      <alignment horizontal="center" vertical="center"/>
    </xf>
    <xf numFmtId="43" fontId="19" fillId="64" borderId="10" xfId="1" applyNumberFormat="1" applyFont="1" applyFill="1" applyBorder="1" applyAlignment="1">
      <alignment vertical="center"/>
    </xf>
    <xf numFmtId="0" fontId="10" fillId="35" borderId="79" xfId="1" applyFont="1" applyFill="1" applyBorder="1" applyAlignment="1">
      <alignment vertical="center"/>
    </xf>
    <xf numFmtId="0" fontId="10" fillId="6" borderId="79" xfId="1" applyFont="1" applyFill="1" applyBorder="1" applyAlignment="1">
      <alignment vertical="center"/>
    </xf>
    <xf numFmtId="0" fontId="10" fillId="64" borderId="10" xfId="1" applyFont="1" applyFill="1" applyBorder="1" applyAlignment="1">
      <alignment vertical="center"/>
    </xf>
    <xf numFmtId="0" fontId="10" fillId="19" borderId="62" xfId="1" applyFont="1" applyFill="1" applyBorder="1" applyAlignment="1">
      <alignment horizontal="justify" vertical="center" wrapText="1"/>
    </xf>
    <xf numFmtId="0" fontId="10" fillId="19" borderId="80" xfId="1" applyFont="1" applyFill="1" applyBorder="1" applyAlignment="1">
      <alignment horizontal="justify" vertical="center" wrapText="1"/>
    </xf>
    <xf numFmtId="0" fontId="10" fillId="19" borderId="83" xfId="1" applyFont="1" applyFill="1" applyBorder="1" applyAlignment="1">
      <alignment horizontal="justify" vertical="center" wrapText="1"/>
    </xf>
    <xf numFmtId="0" fontId="10" fillId="6" borderId="19" xfId="1" applyFont="1" applyFill="1" applyBorder="1" applyAlignment="1">
      <alignment horizontal="justify" vertical="center" wrapText="1"/>
    </xf>
    <xf numFmtId="10" fontId="19" fillId="6" borderId="19" xfId="3" applyNumberFormat="1" applyFont="1" applyFill="1" applyBorder="1" applyAlignment="1">
      <alignment horizontal="center" vertical="center" wrapText="1"/>
    </xf>
    <xf numFmtId="0" fontId="10" fillId="0" borderId="79" xfId="1" applyFont="1" applyBorder="1" applyAlignment="1">
      <alignment horizontal="justify" vertical="center"/>
    </xf>
    <xf numFmtId="0" fontId="10" fillId="0" borderId="32" xfId="1" applyFont="1" applyBorder="1" applyAlignment="1">
      <alignment horizontal="justify" vertical="center"/>
    </xf>
    <xf numFmtId="10" fontId="19" fillId="6" borderId="32" xfId="3" applyNumberFormat="1" applyFont="1" applyFill="1" applyBorder="1" applyAlignment="1">
      <alignment horizontal="center" vertical="center"/>
    </xf>
    <xf numFmtId="0" fontId="10" fillId="0" borderId="19" xfId="1" applyFont="1" applyBorder="1" applyAlignment="1">
      <alignment horizontal="justify" vertical="center"/>
    </xf>
    <xf numFmtId="10" fontId="19" fillId="6" borderId="19" xfId="3" applyNumberFormat="1" applyFont="1" applyFill="1" applyBorder="1" applyAlignment="1">
      <alignment horizontal="center" vertical="center"/>
    </xf>
    <xf numFmtId="10" fontId="19" fillId="6" borderId="79" xfId="3" applyNumberFormat="1" applyFont="1" applyFill="1" applyBorder="1" applyAlignment="1">
      <alignment horizontal="center" vertical="center"/>
    </xf>
    <xf numFmtId="0" fontId="10" fillId="0" borderId="83" xfId="1" applyFont="1" applyBorder="1" applyAlignment="1">
      <alignment horizontal="justify" vertical="center"/>
    </xf>
    <xf numFmtId="10" fontId="19" fillId="6" borderId="83" xfId="3" applyNumberFormat="1" applyFont="1" applyFill="1" applyBorder="1" applyAlignment="1">
      <alignment horizontal="center" vertical="center"/>
    </xf>
    <xf numFmtId="10" fontId="16" fillId="6" borderId="19" xfId="3" applyNumberFormat="1" applyFont="1" applyFill="1" applyBorder="1" applyAlignment="1">
      <alignment horizontal="center" vertical="center"/>
    </xf>
    <xf numFmtId="10" fontId="16" fillId="6" borderId="79" xfId="3" applyNumberFormat="1" applyFont="1" applyFill="1" applyBorder="1" applyAlignment="1">
      <alignment horizontal="center" vertical="center"/>
    </xf>
    <xf numFmtId="0" fontId="10" fillId="6" borderId="3" xfId="1" applyFont="1" applyFill="1" applyBorder="1" applyAlignment="1">
      <alignment horizontal="justify" vertical="center" wrapText="1"/>
    </xf>
    <xf numFmtId="167" fontId="19" fillId="6" borderId="3" xfId="1" applyNumberFormat="1" applyFont="1" applyFill="1" applyBorder="1" applyAlignment="1">
      <alignment horizontal="center" vertical="center"/>
    </xf>
    <xf numFmtId="43" fontId="19" fillId="64" borderId="3" xfId="1" applyNumberFormat="1" applyFont="1" applyFill="1" applyBorder="1" applyAlignment="1">
      <alignment vertical="center"/>
    </xf>
    <xf numFmtId="167" fontId="19" fillId="6" borderId="19" xfId="1" applyNumberFormat="1" applyFont="1" applyFill="1" applyBorder="1" applyAlignment="1">
      <alignment horizontal="center" vertical="center"/>
    </xf>
    <xf numFmtId="43" fontId="19" fillId="64" borderId="15" xfId="1" applyNumberFormat="1" applyFont="1" applyFill="1" applyBorder="1" applyAlignment="1">
      <alignment vertical="center"/>
    </xf>
    <xf numFmtId="0" fontId="21" fillId="6" borderId="79" xfId="1" applyFont="1" applyFill="1" applyBorder="1" applyAlignment="1">
      <alignment horizontal="justify" vertical="center" wrapText="1"/>
    </xf>
    <xf numFmtId="10" fontId="12" fillId="6" borderId="79" xfId="3" applyNumberFormat="1" applyFont="1" applyFill="1" applyBorder="1" applyAlignment="1">
      <alignment horizontal="center" vertical="center" wrapText="1"/>
    </xf>
    <xf numFmtId="10" fontId="12" fillId="6" borderId="19" xfId="3" applyNumberFormat="1" applyFont="1" applyFill="1" applyBorder="1" applyAlignment="1">
      <alignment horizontal="center" vertical="center" wrapText="1"/>
    </xf>
    <xf numFmtId="167" fontId="19" fillId="6" borderId="32" xfId="1" applyNumberFormat="1" applyFont="1" applyFill="1" applyBorder="1" applyAlignment="1">
      <alignment horizontal="center" vertical="center"/>
    </xf>
    <xf numFmtId="43" fontId="19" fillId="64" borderId="35" xfId="1" applyNumberFormat="1" applyFont="1" applyFill="1" applyBorder="1" applyAlignment="1">
      <alignment vertical="center"/>
    </xf>
    <xf numFmtId="167" fontId="19" fillId="6" borderId="80" xfId="1" applyNumberFormat="1" applyFont="1" applyFill="1" applyBorder="1" applyAlignment="1">
      <alignment horizontal="center" vertical="center"/>
    </xf>
    <xf numFmtId="43" fontId="19" fillId="64" borderId="80" xfId="1" applyNumberFormat="1" applyFont="1" applyFill="1" applyBorder="1" applyAlignment="1">
      <alignment vertical="center"/>
    </xf>
    <xf numFmtId="43" fontId="19" fillId="64" borderId="79" xfId="1" applyNumberFormat="1" applyFont="1" applyFill="1" applyBorder="1" applyAlignment="1">
      <alignment vertical="center"/>
    </xf>
    <xf numFmtId="10" fontId="16" fillId="6" borderId="79" xfId="0" applyNumberFormat="1" applyFont="1" applyFill="1" applyBorder="1" applyAlignment="1">
      <alignment horizontal="center" vertical="center" wrapText="1" readingOrder="1"/>
    </xf>
    <xf numFmtId="0" fontId="20" fillId="6" borderId="14" xfId="1" applyFont="1" applyFill="1" applyBorder="1" applyAlignment="1">
      <alignment horizontal="left" vertical="center" wrapText="1"/>
    </xf>
    <xf numFmtId="0" fontId="10" fillId="6" borderId="105" xfId="1" applyFont="1" applyFill="1" applyBorder="1" applyAlignment="1">
      <alignment horizontal="justify" vertical="center" wrapText="1"/>
    </xf>
    <xf numFmtId="10" fontId="19" fillId="6" borderId="105" xfId="3" applyNumberFormat="1" applyFont="1" applyFill="1" applyBorder="1" applyAlignment="1">
      <alignment horizontal="center" vertical="center" wrapText="1"/>
    </xf>
    <xf numFmtId="0" fontId="62" fillId="6" borderId="18" xfId="1" applyFont="1" applyFill="1" applyBorder="1" applyAlignment="1">
      <alignment horizontal="justify" vertical="center" wrapText="1"/>
    </xf>
    <xf numFmtId="10" fontId="209" fillId="58" borderId="19" xfId="0" applyNumberFormat="1" applyFont="1" applyFill="1" applyBorder="1" applyAlignment="1">
      <alignment horizontal="center" vertical="center" wrapText="1" readingOrder="1"/>
    </xf>
    <xf numFmtId="10" fontId="16" fillId="6" borderId="19" xfId="0" applyNumberFormat="1" applyFont="1" applyFill="1" applyBorder="1" applyAlignment="1">
      <alignment horizontal="center" vertical="center" wrapText="1" readingOrder="1"/>
    </xf>
    <xf numFmtId="0" fontId="62" fillId="6" borderId="6" xfId="1" applyFont="1" applyFill="1" applyBorder="1" applyAlignment="1">
      <alignment horizontal="justify" vertical="center" wrapText="1"/>
    </xf>
    <xf numFmtId="10" fontId="209" fillId="58" borderId="79" xfId="0" applyNumberFormat="1" applyFont="1" applyFill="1" applyBorder="1" applyAlignment="1">
      <alignment horizontal="center" vertical="center" wrapText="1" readingOrder="1"/>
    </xf>
    <xf numFmtId="0" fontId="62" fillId="6" borderId="31" xfId="1" applyFont="1" applyFill="1" applyBorder="1" applyAlignment="1">
      <alignment horizontal="justify" vertical="center" wrapText="1"/>
    </xf>
    <xf numFmtId="10" fontId="209" fillId="58" borderId="32" xfId="0" applyNumberFormat="1" applyFont="1" applyFill="1" applyBorder="1" applyAlignment="1">
      <alignment horizontal="center" vertical="center" wrapText="1" readingOrder="1"/>
    </xf>
    <xf numFmtId="10" fontId="16" fillId="6" borderId="32" xfId="0" applyNumberFormat="1" applyFont="1" applyFill="1" applyBorder="1" applyAlignment="1">
      <alignment horizontal="center" vertical="center" wrapText="1" readingOrder="1"/>
    </xf>
    <xf numFmtId="0" fontId="21" fillId="30" borderId="56" xfId="0" applyFont="1" applyFill="1" applyBorder="1" applyAlignment="1">
      <alignment horizontal="justify" vertical="center" wrapText="1" readingOrder="1"/>
    </xf>
    <xf numFmtId="167" fontId="19" fillId="6" borderId="57" xfId="1" applyNumberFormat="1" applyFont="1" applyFill="1" applyBorder="1" applyAlignment="1">
      <alignment horizontal="center" vertical="center"/>
    </xf>
    <xf numFmtId="43" fontId="19" fillId="64" borderId="58" xfId="1" applyNumberFormat="1" applyFont="1" applyFill="1" applyBorder="1" applyAlignment="1">
      <alignment vertical="center"/>
    </xf>
    <xf numFmtId="0" fontId="21" fillId="30" borderId="14" xfId="0" applyFont="1" applyFill="1" applyBorder="1" applyAlignment="1">
      <alignment horizontal="justify" vertical="center" wrapText="1" readingOrder="1"/>
    </xf>
    <xf numFmtId="167" fontId="19" fillId="6" borderId="105" xfId="1" applyNumberFormat="1" applyFont="1" applyFill="1" applyBorder="1" applyAlignment="1">
      <alignment horizontal="center" vertical="center"/>
    </xf>
    <xf numFmtId="43" fontId="19" fillId="64" borderId="40" xfId="1" applyNumberFormat="1" applyFont="1" applyFill="1" applyBorder="1" applyAlignment="1">
      <alignment vertical="center"/>
    </xf>
    <xf numFmtId="0" fontId="21" fillId="6" borderId="18" xfId="1" applyFont="1" applyFill="1" applyBorder="1" applyAlignment="1">
      <alignment horizontal="justify" vertical="center" wrapText="1"/>
    </xf>
    <xf numFmtId="9" fontId="62" fillId="13" borderId="19" xfId="0" applyNumberFormat="1" applyFont="1" applyFill="1" applyBorder="1" applyAlignment="1">
      <alignment horizontal="center" vertical="center" wrapText="1" readingOrder="1"/>
    </xf>
    <xf numFmtId="0" fontId="62" fillId="35" borderId="19" xfId="1" applyFont="1" applyFill="1" applyBorder="1" applyAlignment="1">
      <alignment horizontal="center" vertical="center"/>
    </xf>
    <xf numFmtId="0" fontId="209" fillId="58" borderId="19" xfId="0" applyFont="1" applyFill="1" applyBorder="1" applyAlignment="1">
      <alignment horizontal="center" vertical="center" wrapText="1" readingOrder="1"/>
    </xf>
    <xf numFmtId="171" fontId="19" fillId="6" borderId="79" xfId="31" applyNumberFormat="1" applyFont="1" applyFill="1" applyBorder="1" applyAlignment="1">
      <alignment vertical="center" wrapText="1"/>
    </xf>
    <xf numFmtId="41" fontId="17" fillId="6" borderId="19" xfId="31" applyFont="1" applyFill="1" applyBorder="1" applyAlignment="1">
      <alignment horizontal="center" vertical="center" wrapText="1"/>
    </xf>
    <xf numFmtId="165" fontId="17" fillId="12" borderId="15" xfId="19" applyNumberFormat="1" applyFont="1" applyFill="1" applyBorder="1" applyAlignment="1">
      <alignment horizontal="center" vertical="center" wrapText="1"/>
    </xf>
    <xf numFmtId="0" fontId="21" fillId="6" borderId="6" xfId="1" applyFont="1" applyFill="1" applyBorder="1" applyAlignment="1">
      <alignment horizontal="justify" vertical="center" wrapText="1"/>
    </xf>
    <xf numFmtId="9" fontId="62" fillId="13" borderId="79" xfId="0" applyNumberFormat="1" applyFont="1" applyFill="1" applyBorder="1" applyAlignment="1">
      <alignment horizontal="center" vertical="center" wrapText="1" readingOrder="1"/>
    </xf>
    <xf numFmtId="165" fontId="17" fillId="12" borderId="10" xfId="19" applyNumberFormat="1" applyFont="1" applyFill="1" applyBorder="1" applyAlignment="1">
      <alignment horizontal="center" vertical="center" wrapText="1"/>
    </xf>
    <xf numFmtId="0" fontId="21" fillId="6" borderId="82" xfId="1" applyFont="1" applyFill="1" applyBorder="1" applyAlignment="1">
      <alignment horizontal="justify" vertical="center" wrapText="1"/>
    </xf>
    <xf numFmtId="9" fontId="61" fillId="6" borderId="83" xfId="1" applyNumberFormat="1" applyFont="1" applyFill="1" applyBorder="1" applyAlignment="1">
      <alignment horizontal="center" vertical="center" wrapText="1"/>
    </xf>
    <xf numFmtId="9" fontId="62" fillId="6" borderId="83" xfId="1" applyNumberFormat="1" applyFont="1" applyFill="1" applyBorder="1"/>
    <xf numFmtId="165" fontId="61" fillId="6" borderId="83" xfId="3" applyNumberFormat="1" applyFont="1" applyFill="1" applyBorder="1" applyAlignment="1">
      <alignment vertical="center" wrapText="1"/>
    </xf>
    <xf numFmtId="9" fontId="62" fillId="30" borderId="83" xfId="0" applyNumberFormat="1" applyFont="1" applyFill="1" applyBorder="1" applyAlignment="1">
      <alignment horizontal="center" vertical="center" wrapText="1" readingOrder="1"/>
    </xf>
    <xf numFmtId="0" fontId="62" fillId="57" borderId="83" xfId="1" applyFont="1" applyFill="1" applyBorder="1" applyAlignment="1">
      <alignment horizontal="center" vertical="center"/>
    </xf>
    <xf numFmtId="9" fontId="62" fillId="13" borderId="83" xfId="0" applyNumberFormat="1" applyFont="1" applyFill="1" applyBorder="1" applyAlignment="1">
      <alignment horizontal="center" vertical="center" wrapText="1" readingOrder="1"/>
    </xf>
    <xf numFmtId="0" fontId="62" fillId="35" borderId="83" xfId="1" applyFont="1" applyFill="1" applyBorder="1" applyAlignment="1">
      <alignment horizontal="center" vertical="center"/>
    </xf>
    <xf numFmtId="0" fontId="209" fillId="58" borderId="83" xfId="0" applyFont="1" applyFill="1" applyBorder="1" applyAlignment="1">
      <alignment horizontal="center" vertical="center" wrapText="1" readingOrder="1"/>
    </xf>
    <xf numFmtId="171" fontId="19" fillId="6" borderId="83" xfId="31" applyNumberFormat="1" applyFont="1" applyFill="1" applyBorder="1" applyAlignment="1">
      <alignment vertical="center" wrapText="1"/>
    </xf>
    <xf numFmtId="41" fontId="17" fillId="6" borderId="83" xfId="31" applyFont="1" applyFill="1" applyBorder="1" applyAlignment="1">
      <alignment horizontal="center" vertical="center" wrapText="1"/>
    </xf>
    <xf numFmtId="165" fontId="17" fillId="12" borderId="94" xfId="19" applyNumberFormat="1" applyFont="1" applyFill="1" applyBorder="1" applyAlignment="1">
      <alignment horizontal="center" vertical="center" wrapText="1"/>
    </xf>
    <xf numFmtId="9" fontId="62" fillId="13" borderId="57" xfId="0" applyNumberFormat="1" applyFont="1" applyFill="1" applyBorder="1" applyAlignment="1">
      <alignment horizontal="center" vertical="center" wrapText="1" readingOrder="1"/>
    </xf>
    <xf numFmtId="0" fontId="62" fillId="35" borderId="57" xfId="1" applyFont="1" applyFill="1" applyBorder="1" applyAlignment="1">
      <alignment horizontal="center" vertical="center"/>
    </xf>
    <xf numFmtId="9" fontId="62" fillId="35" borderId="57" xfId="1" applyNumberFormat="1" applyFont="1" applyFill="1" applyBorder="1" applyAlignment="1">
      <alignment horizontal="center" vertical="center"/>
    </xf>
    <xf numFmtId="10" fontId="10" fillId="35" borderId="57" xfId="1" applyNumberFormat="1" applyFont="1" applyFill="1" applyBorder="1" applyAlignment="1">
      <alignment horizontal="center" vertical="center"/>
    </xf>
    <xf numFmtId="9" fontId="10" fillId="35" borderId="57" xfId="1" applyNumberFormat="1" applyFont="1" applyFill="1" applyBorder="1" applyAlignment="1">
      <alignment horizontal="center" vertical="center"/>
    </xf>
    <xf numFmtId="10" fontId="10" fillId="6" borderId="57" xfId="1" applyNumberFormat="1" applyFont="1" applyFill="1" applyBorder="1" applyAlignment="1">
      <alignment horizontal="center" vertical="center"/>
    </xf>
    <xf numFmtId="9" fontId="10" fillId="6" borderId="57" xfId="1" applyNumberFormat="1" applyFont="1" applyFill="1" applyBorder="1" applyAlignment="1">
      <alignment horizontal="center" vertical="center"/>
    </xf>
    <xf numFmtId="9" fontId="62" fillId="6" borderId="80" xfId="1" applyNumberFormat="1" applyFont="1" applyFill="1" applyBorder="1" applyAlignment="1">
      <alignment horizontal="center" vertical="center" wrapText="1"/>
    </xf>
    <xf numFmtId="9" fontId="61" fillId="6" borderId="80" xfId="1" applyNumberFormat="1" applyFont="1" applyFill="1" applyBorder="1" applyAlignment="1">
      <alignment horizontal="center" vertical="center" wrapText="1"/>
    </xf>
    <xf numFmtId="9" fontId="62" fillId="6" borderId="80" xfId="1" applyNumberFormat="1" applyFont="1" applyFill="1" applyBorder="1"/>
    <xf numFmtId="165" fontId="61" fillId="6" borderId="80" xfId="3" applyNumberFormat="1" applyFont="1" applyFill="1" applyBorder="1" applyAlignment="1">
      <alignment vertical="center" wrapText="1"/>
    </xf>
    <xf numFmtId="0" fontId="10" fillId="35" borderId="79" xfId="1" applyFont="1" applyFill="1" applyBorder="1" applyAlignment="1">
      <alignment horizontal="center" vertical="center"/>
    </xf>
    <xf numFmtId="2" fontId="10" fillId="35" borderId="79" xfId="1" applyNumberFormat="1" applyFont="1" applyFill="1" applyBorder="1" applyAlignment="1">
      <alignment horizontal="center" vertical="center"/>
    </xf>
    <xf numFmtId="0" fontId="10" fillId="6" borderId="79" xfId="1" applyFont="1" applyFill="1" applyBorder="1" applyAlignment="1">
      <alignment horizontal="center" vertical="center"/>
    </xf>
    <xf numFmtId="171" fontId="12" fillId="6" borderId="79" xfId="31" applyNumberFormat="1" applyFont="1" applyFill="1" applyBorder="1" applyAlignment="1">
      <alignment horizontal="center" vertical="center" wrapText="1"/>
    </xf>
    <xf numFmtId="10" fontId="12" fillId="6" borderId="79" xfId="19" applyNumberFormat="1" applyFont="1" applyFill="1" applyBorder="1" applyAlignment="1">
      <alignment horizontal="center" vertical="center" wrapText="1"/>
    </xf>
    <xf numFmtId="10" fontId="12" fillId="6" borderId="87" xfId="19" applyNumberFormat="1" applyFont="1" applyFill="1" applyBorder="1" applyAlignment="1">
      <alignment horizontal="center" vertical="center" wrapText="1"/>
    </xf>
    <xf numFmtId="10" fontId="10" fillId="35" borderId="79" xfId="1" applyNumberFormat="1" applyFont="1" applyFill="1" applyBorder="1" applyAlignment="1">
      <alignment horizontal="center" vertical="center"/>
    </xf>
    <xf numFmtId="10" fontId="10" fillId="6" borderId="79" xfId="1" applyNumberFormat="1" applyFont="1" applyFill="1" applyBorder="1" applyAlignment="1">
      <alignment horizontal="center" vertical="center"/>
    </xf>
    <xf numFmtId="0" fontId="23" fillId="3" borderId="79" xfId="1" applyFont="1" applyFill="1" applyBorder="1" applyAlignment="1">
      <alignment horizontal="justify" vertical="center" wrapText="1"/>
    </xf>
    <xf numFmtId="0" fontId="23" fillId="33" borderId="72" xfId="0" applyFont="1" applyFill="1" applyBorder="1" applyAlignment="1">
      <alignment horizontal="justify" vertical="center"/>
    </xf>
    <xf numFmtId="0" fontId="23" fillId="0" borderId="55" xfId="0" applyFont="1" applyBorder="1" applyAlignment="1">
      <alignment horizontal="center" vertical="center"/>
    </xf>
    <xf numFmtId="9" fontId="19" fillId="0" borderId="80" xfId="1" applyNumberFormat="1" applyFont="1" applyBorder="1"/>
    <xf numFmtId="9" fontId="148" fillId="0" borderId="2" xfId="16" applyNumberFormat="1" applyFont="1" applyBorder="1" applyAlignment="1">
      <alignment horizontal="center" vertical="center"/>
    </xf>
    <xf numFmtId="9" fontId="149" fillId="0" borderId="2" xfId="10" applyNumberFormat="1" applyFont="1" applyBorder="1" applyAlignment="1">
      <alignment horizontal="center" vertical="center"/>
    </xf>
    <xf numFmtId="9" fontId="149" fillId="0" borderId="0" xfId="10" applyNumberFormat="1" applyFont="1" applyAlignment="1">
      <alignment horizontal="center" vertical="center"/>
    </xf>
    <xf numFmtId="0" fontId="24" fillId="6" borderId="79" xfId="0" applyFont="1" applyFill="1" applyBorder="1" applyAlignment="1">
      <alignment horizontal="justify" vertical="center" wrapText="1" readingOrder="1"/>
    </xf>
    <xf numFmtId="165" fontId="44" fillId="6" borderId="79" xfId="3" applyNumberFormat="1" applyFont="1" applyFill="1" applyBorder="1" applyAlignment="1">
      <alignment horizontal="center" vertical="center" wrapText="1"/>
    </xf>
    <xf numFmtId="0" fontId="24" fillId="30" borderId="79" xfId="0" applyFont="1" applyFill="1" applyBorder="1" applyAlignment="1">
      <alignment horizontal="justify" vertical="center" wrapText="1" readingOrder="1"/>
    </xf>
    <xf numFmtId="2" fontId="105" fillId="0" borderId="79" xfId="7" applyNumberFormat="1" applyFont="1" applyBorder="1" applyAlignment="1">
      <alignment horizontal="center" vertical="center"/>
    </xf>
    <xf numFmtId="171" fontId="17" fillId="12" borderId="79" xfId="31" applyNumberFormat="1" applyFont="1" applyFill="1" applyBorder="1" applyAlignment="1">
      <alignment horizontal="center" vertical="center" wrapText="1"/>
    </xf>
    <xf numFmtId="0" fontId="17" fillId="6" borderId="79" xfId="1" applyFont="1" applyFill="1" applyBorder="1" applyAlignment="1">
      <alignment horizontal="left" vertical="center" wrapText="1"/>
    </xf>
    <xf numFmtId="2" fontId="104" fillId="6" borderId="79" xfId="7" applyNumberFormat="1" applyFont="1" applyFill="1" applyBorder="1" applyAlignment="1">
      <alignment horizontal="center" vertical="center"/>
    </xf>
    <xf numFmtId="9" fontId="10" fillId="6" borderId="79" xfId="1" applyNumberFormat="1" applyFont="1" applyFill="1" applyBorder="1" applyAlignment="1">
      <alignment horizontal="center" vertical="center" wrapText="1"/>
    </xf>
    <xf numFmtId="10" fontId="14" fillId="13" borderId="0" xfId="1" applyNumberFormat="1" applyFont="1" applyFill="1" applyAlignment="1">
      <alignment horizontal="center"/>
    </xf>
    <xf numFmtId="10" fontId="14" fillId="6" borderId="0" xfId="1" applyNumberFormat="1" applyFont="1" applyFill="1" applyAlignment="1">
      <alignment vertical="center" wrapText="1"/>
    </xf>
    <xf numFmtId="0" fontId="20" fillId="27" borderId="87" xfId="17" applyFont="1" applyFill="1" applyBorder="1" applyAlignment="1">
      <alignment horizontal="center" vertical="center" wrapText="1"/>
    </xf>
    <xf numFmtId="0" fontId="22" fillId="27" borderId="87" xfId="17" applyFont="1" applyFill="1" applyBorder="1" applyAlignment="1">
      <alignment horizontal="center" vertical="center" wrapText="1"/>
    </xf>
    <xf numFmtId="0" fontId="17" fillId="36" borderId="87" xfId="17" applyFont="1" applyFill="1" applyBorder="1" applyAlignment="1">
      <alignment horizontal="center" vertical="center" wrapText="1"/>
    </xf>
    <xf numFmtId="0" fontId="17" fillId="23" borderId="87" xfId="17" applyFont="1" applyFill="1" applyBorder="1" applyAlignment="1">
      <alignment horizontal="center" wrapText="1"/>
    </xf>
    <xf numFmtId="0" fontId="44" fillId="32" borderId="87" xfId="17" applyFont="1" applyFill="1" applyBorder="1" applyAlignment="1">
      <alignment horizontal="center"/>
    </xf>
    <xf numFmtId="0" fontId="20" fillId="27" borderId="18" xfId="17" applyFont="1" applyFill="1" applyBorder="1" applyAlignment="1">
      <alignment horizontal="center" vertical="center" wrapText="1"/>
    </xf>
    <xf numFmtId="0" fontId="17" fillId="36" borderId="6" xfId="17" applyFont="1" applyFill="1" applyBorder="1" applyAlignment="1">
      <alignment horizontal="center" vertical="center" wrapText="1"/>
    </xf>
    <xf numFmtId="0" fontId="17" fillId="23" borderId="6" xfId="17" applyFont="1" applyFill="1" applyBorder="1" applyAlignment="1">
      <alignment horizontal="center" wrapText="1"/>
    </xf>
    <xf numFmtId="0" fontId="44" fillId="32" borderId="31" xfId="17" applyFont="1" applyFill="1" applyBorder="1" applyAlignment="1">
      <alignment horizontal="center"/>
    </xf>
    <xf numFmtId="0" fontId="20" fillId="27" borderId="15" xfId="17" applyFont="1" applyFill="1" applyBorder="1" applyAlignment="1">
      <alignment horizontal="center" vertical="center" wrapText="1"/>
    </xf>
    <xf numFmtId="0" fontId="17" fillId="36" borderId="10" xfId="17" applyFont="1" applyFill="1" applyBorder="1" applyAlignment="1">
      <alignment horizontal="center" vertical="center" wrapText="1"/>
    </xf>
    <xf numFmtId="0" fontId="44" fillId="32" borderId="35" xfId="17" applyFont="1" applyFill="1" applyBorder="1" applyAlignment="1">
      <alignment horizontal="center"/>
    </xf>
    <xf numFmtId="10" fontId="37" fillId="13" borderId="79" xfId="1" applyNumberFormat="1" applyFont="1" applyFill="1" applyBorder="1" applyAlignment="1">
      <alignment horizontal="center"/>
    </xf>
    <xf numFmtId="9" fontId="106" fillId="3" borderId="79" xfId="1" applyNumberFormat="1" applyFont="1" applyFill="1" applyBorder="1" applyAlignment="1">
      <alignment horizontal="center"/>
    </xf>
    <xf numFmtId="9" fontId="106" fillId="13" borderId="79" xfId="1" applyNumberFormat="1" applyFont="1" applyFill="1" applyBorder="1" applyAlignment="1">
      <alignment horizontal="center"/>
    </xf>
    <xf numFmtId="166" fontId="10" fillId="0" borderId="83" xfId="18" applyNumberFormat="1" applyFont="1" applyBorder="1" applyAlignment="1">
      <alignment horizontal="center" vertical="center" wrapText="1"/>
    </xf>
    <xf numFmtId="166" fontId="10" fillId="0" borderId="3" xfId="18" applyNumberFormat="1" applyFont="1" applyBorder="1" applyAlignment="1">
      <alignment horizontal="center" vertical="center" wrapText="1"/>
    </xf>
    <xf numFmtId="166" fontId="10" fillId="0" borderId="80" xfId="18" applyNumberFormat="1" applyFont="1" applyBorder="1" applyAlignment="1">
      <alignment horizontal="center" vertical="center" wrapText="1"/>
    </xf>
    <xf numFmtId="0" fontId="10" fillId="0" borderId="35" xfId="1" applyBorder="1" applyAlignment="1">
      <alignment horizontal="center" vertical="center" wrapText="1"/>
    </xf>
    <xf numFmtId="0" fontId="16" fillId="3" borderId="83" xfId="1" applyFont="1" applyFill="1" applyBorder="1" applyAlignment="1">
      <alignment horizontal="justify" vertical="center" wrapText="1"/>
    </xf>
    <xf numFmtId="0" fontId="23" fillId="6" borderId="79" xfId="1" applyFont="1" applyFill="1" applyBorder="1" applyAlignment="1">
      <alignment horizontal="justify" vertical="center" wrapText="1"/>
    </xf>
    <xf numFmtId="166" fontId="10" fillId="0" borderId="0" xfId="18" applyNumberFormat="1" applyFont="1" applyBorder="1" applyAlignment="1">
      <alignment horizontal="center" vertical="center" wrapText="1"/>
    </xf>
    <xf numFmtId="0" fontId="14" fillId="3" borderId="19" xfId="1" applyFont="1" applyFill="1" applyBorder="1" applyAlignment="1">
      <alignment horizontal="justify" vertical="center" wrapText="1"/>
    </xf>
    <xf numFmtId="165" fontId="62" fillId="6" borderId="79" xfId="3" applyNumberFormat="1" applyFont="1" applyFill="1" applyBorder="1" applyAlignment="1">
      <alignment horizontal="center" vertical="center" wrapText="1"/>
    </xf>
    <xf numFmtId="10" fontId="62" fillId="35" borderId="79" xfId="3" applyNumberFormat="1" applyFont="1" applyFill="1" applyBorder="1" applyAlignment="1">
      <alignment horizontal="center" vertical="center" wrapText="1"/>
    </xf>
    <xf numFmtId="10" fontId="62" fillId="6" borderId="79" xfId="3" applyNumberFormat="1" applyFont="1" applyFill="1" applyBorder="1" applyAlignment="1">
      <alignment horizontal="center" vertical="center"/>
    </xf>
    <xf numFmtId="9" fontId="62" fillId="6" borderId="79" xfId="3" applyFont="1" applyFill="1" applyBorder="1" applyAlignment="1">
      <alignment horizontal="center" vertical="center"/>
    </xf>
    <xf numFmtId="9" fontId="62" fillId="57" borderId="79" xfId="3" applyFont="1" applyFill="1" applyBorder="1" applyAlignment="1">
      <alignment horizontal="center" vertical="center"/>
    </xf>
    <xf numFmtId="10" fontId="62" fillId="35" borderId="79" xfId="3" applyNumberFormat="1" applyFont="1" applyFill="1" applyBorder="1" applyAlignment="1">
      <alignment horizontal="center" vertical="center"/>
    </xf>
    <xf numFmtId="10" fontId="16" fillId="35" borderId="79" xfId="3" applyNumberFormat="1" applyFont="1" applyFill="1" applyBorder="1" applyAlignment="1">
      <alignment horizontal="center" vertical="center"/>
    </xf>
    <xf numFmtId="9" fontId="61" fillId="6" borderId="79" xfId="3" applyFont="1" applyFill="1" applyBorder="1" applyAlignment="1">
      <alignment horizontal="center" vertical="center"/>
    </xf>
    <xf numFmtId="0" fontId="109" fillId="51" borderId="107" xfId="0" applyFont="1" applyFill="1" applyBorder="1" applyAlignment="1">
      <alignment horizontal="center" vertical="center" wrapText="1" readingOrder="1"/>
    </xf>
    <xf numFmtId="17" fontId="110" fillId="51" borderId="108" xfId="0" applyNumberFormat="1" applyFont="1" applyFill="1" applyBorder="1" applyAlignment="1">
      <alignment horizontal="center" wrapText="1" readingOrder="1"/>
    </xf>
    <xf numFmtId="0" fontId="111" fillId="51" borderId="108" xfId="0" applyFont="1" applyFill="1" applyBorder="1" applyAlignment="1">
      <alignment horizontal="center" vertical="center" wrapText="1" readingOrder="1"/>
    </xf>
    <xf numFmtId="0" fontId="120" fillId="51" borderId="110" xfId="0" applyFont="1" applyFill="1" applyBorder="1" applyAlignment="1">
      <alignment horizontal="justify" vertical="center" wrapText="1" readingOrder="1"/>
    </xf>
    <xf numFmtId="0" fontId="121" fillId="51" borderId="108" xfId="0" applyFont="1" applyFill="1" applyBorder="1" applyAlignment="1">
      <alignment horizontal="center" vertical="center" wrapText="1" readingOrder="1"/>
    </xf>
    <xf numFmtId="0" fontId="58" fillId="51" borderId="108" xfId="0" applyFont="1" applyFill="1" applyBorder="1" applyAlignment="1">
      <alignment horizontal="center" vertical="center" wrapText="1"/>
    </xf>
    <xf numFmtId="0" fontId="112" fillId="51" borderId="108" xfId="0" applyFont="1" applyFill="1" applyBorder="1" applyAlignment="1">
      <alignment horizontal="center" vertical="center" wrapText="1" readingOrder="1"/>
    </xf>
    <xf numFmtId="0" fontId="120" fillId="51" borderId="111" xfId="0" applyFont="1" applyFill="1" applyBorder="1" applyAlignment="1">
      <alignment horizontal="center" vertical="center" wrapText="1" readingOrder="1"/>
    </xf>
    <xf numFmtId="0" fontId="122" fillId="51" borderId="112" xfId="0" applyFont="1" applyFill="1" applyBorder="1" applyAlignment="1">
      <alignment horizontal="center" vertical="center" wrapText="1" readingOrder="1"/>
    </xf>
    <xf numFmtId="0" fontId="122" fillId="51" borderId="113" xfId="0" applyFont="1" applyFill="1" applyBorder="1" applyAlignment="1">
      <alignment horizontal="center" vertical="center" wrapText="1" readingOrder="1"/>
    </xf>
    <xf numFmtId="175" fontId="0" fillId="0" borderId="0" xfId="0" applyNumberFormat="1" applyAlignment="1">
      <alignment vertical="center"/>
    </xf>
    <xf numFmtId="0" fontId="24" fillId="0" borderId="0" xfId="8" applyFont="1"/>
    <xf numFmtId="9" fontId="55" fillId="6" borderId="79" xfId="1" applyNumberFormat="1" applyFont="1" applyFill="1" applyBorder="1" applyAlignment="1">
      <alignment horizontal="center" vertical="center" wrapText="1"/>
    </xf>
    <xf numFmtId="0" fontId="76" fillId="6" borderId="2" xfId="17" applyFont="1" applyFill="1" applyBorder="1" applyAlignment="1">
      <alignment horizontal="left" vertical="center" wrapText="1"/>
    </xf>
    <xf numFmtId="0" fontId="10" fillId="6" borderId="32" xfId="1" applyFont="1" applyFill="1" applyBorder="1" applyAlignment="1">
      <alignment horizontal="justify" vertical="center" wrapText="1"/>
    </xf>
    <xf numFmtId="10" fontId="62" fillId="6" borderId="32" xfId="3" applyNumberFormat="1" applyFont="1" applyFill="1" applyBorder="1" applyAlignment="1">
      <alignment horizontal="center" vertical="center"/>
    </xf>
    <xf numFmtId="9" fontId="62" fillId="6" borderId="32" xfId="3" applyFont="1" applyFill="1" applyBorder="1" applyAlignment="1">
      <alignment horizontal="center" vertical="center"/>
    </xf>
    <xf numFmtId="0" fontId="55" fillId="6" borderId="32" xfId="1" applyFont="1" applyFill="1" applyBorder="1" applyAlignment="1">
      <alignment horizontal="justify" vertical="center" wrapText="1"/>
    </xf>
    <xf numFmtId="10" fontId="19" fillId="64" borderId="10" xfId="1" applyNumberFormat="1" applyFont="1" applyFill="1" applyBorder="1" applyAlignment="1">
      <alignment vertical="center"/>
    </xf>
    <xf numFmtId="0" fontId="10" fillId="0" borderId="0" xfId="1" applyFont="1" applyAlignment="1">
      <alignment vertical="center"/>
    </xf>
    <xf numFmtId="0" fontId="10" fillId="6" borderId="0" xfId="1" applyFont="1" applyFill="1" applyAlignment="1">
      <alignment horizontal="justify" vertical="center"/>
    </xf>
    <xf numFmtId="0" fontId="10" fillId="0" borderId="0" xfId="1" applyFont="1" applyAlignment="1">
      <alignment horizontal="center" vertical="center"/>
    </xf>
    <xf numFmtId="0" fontId="12" fillId="4" borderId="19" xfId="1" applyFont="1" applyFill="1" applyBorder="1" applyAlignment="1">
      <alignment horizontal="center" vertical="center"/>
    </xf>
    <xf numFmtId="0" fontId="12" fillId="5" borderId="79" xfId="1" applyFont="1" applyFill="1" applyBorder="1" applyAlignment="1">
      <alignment horizontal="center" vertical="center"/>
    </xf>
    <xf numFmtId="0" fontId="13" fillId="2" borderId="32" xfId="1" applyFont="1" applyFill="1" applyBorder="1" applyAlignment="1">
      <alignment horizontal="center" vertical="center" wrapText="1"/>
    </xf>
    <xf numFmtId="0" fontId="19" fillId="6" borderId="19" xfId="1" applyFont="1" applyFill="1" applyBorder="1" applyAlignment="1">
      <alignment horizontal="justify" vertical="center" wrapText="1"/>
    </xf>
    <xf numFmtId="9" fontId="10" fillId="7" borderId="19" xfId="1" applyNumberFormat="1" applyFont="1" applyFill="1" applyBorder="1" applyAlignment="1">
      <alignment horizontal="center" vertical="center" wrapText="1"/>
    </xf>
    <xf numFmtId="0" fontId="10" fillId="0" borderId="22" xfId="1" applyBorder="1" applyAlignment="1">
      <alignment horizontal="center" vertical="center" wrapText="1"/>
    </xf>
    <xf numFmtId="9" fontId="10" fillId="42" borderId="79" xfId="1" applyNumberFormat="1" applyFont="1" applyFill="1" applyBorder="1" applyAlignment="1">
      <alignment horizontal="center" vertical="center" wrapText="1"/>
    </xf>
    <xf numFmtId="165" fontId="10" fillId="0" borderId="0" xfId="1" applyNumberFormat="1" applyAlignment="1">
      <alignment horizontal="center" vertical="center"/>
    </xf>
    <xf numFmtId="0" fontId="25" fillId="6" borderId="32" xfId="1" applyFont="1" applyFill="1" applyBorder="1" applyAlignment="1">
      <alignment horizontal="justify" vertical="center" wrapText="1"/>
    </xf>
    <xf numFmtId="9" fontId="10" fillId="42" borderId="32" xfId="1" applyNumberFormat="1" applyFont="1" applyFill="1" applyBorder="1" applyAlignment="1">
      <alignment horizontal="center" vertical="center" wrapText="1"/>
    </xf>
    <xf numFmtId="165" fontId="10" fillId="0" borderId="32" xfId="1" applyNumberFormat="1" applyBorder="1" applyAlignment="1">
      <alignment horizontal="center" vertical="center" wrapText="1"/>
    </xf>
    <xf numFmtId="0" fontId="10" fillId="0" borderId="62" xfId="1" applyBorder="1" applyAlignment="1">
      <alignment horizontal="center" vertical="center" wrapText="1"/>
    </xf>
    <xf numFmtId="10" fontId="10" fillId="0" borderId="32" xfId="1" applyNumberFormat="1" applyBorder="1" applyAlignment="1">
      <alignment horizontal="center" vertical="center" wrapText="1"/>
    </xf>
    <xf numFmtId="0" fontId="23" fillId="19" borderId="19" xfId="1" applyFont="1" applyFill="1" applyBorder="1" applyAlignment="1">
      <alignment horizontal="justify" vertical="center" wrapText="1"/>
    </xf>
    <xf numFmtId="9" fontId="21" fillId="7" borderId="19" xfId="1" applyNumberFormat="1" applyFont="1" applyFill="1" applyBorder="1" applyAlignment="1">
      <alignment horizontal="center" vertical="center" wrapText="1"/>
    </xf>
    <xf numFmtId="9" fontId="10" fillId="41" borderId="79" xfId="1" applyNumberFormat="1" applyFont="1" applyFill="1" applyBorder="1" applyAlignment="1">
      <alignment horizontal="center" vertical="center" wrapText="1"/>
    </xf>
    <xf numFmtId="9" fontId="10" fillId="41" borderId="32" xfId="1" applyNumberFormat="1" applyFont="1" applyFill="1" applyBorder="1" applyAlignment="1">
      <alignment horizontal="center" vertical="center" wrapText="1"/>
    </xf>
    <xf numFmtId="0" fontId="23" fillId="6" borderId="19" xfId="1" applyFont="1" applyFill="1" applyBorder="1" applyAlignment="1">
      <alignment horizontal="justify" vertical="center" wrapText="1"/>
    </xf>
    <xf numFmtId="9" fontId="10" fillId="40" borderId="19" xfId="1" applyNumberFormat="1" applyFont="1" applyFill="1" applyBorder="1" applyAlignment="1">
      <alignment horizontal="center" vertical="center" wrapText="1"/>
    </xf>
    <xf numFmtId="9" fontId="10" fillId="40" borderId="79" xfId="1" applyNumberFormat="1" applyFont="1" applyFill="1" applyBorder="1" applyAlignment="1">
      <alignment horizontal="center" vertical="center" wrapText="1"/>
    </xf>
    <xf numFmtId="10" fontId="10" fillId="6" borderId="79" xfId="3" applyNumberFormat="1" applyFont="1" applyFill="1" applyBorder="1" applyAlignment="1">
      <alignment horizontal="center" vertical="center"/>
    </xf>
    <xf numFmtId="165" fontId="12" fillId="0" borderId="32" xfId="1" applyNumberFormat="1" applyFont="1" applyBorder="1" applyAlignment="1">
      <alignment horizontal="center" vertical="center" wrapText="1"/>
    </xf>
    <xf numFmtId="0" fontId="10" fillId="19" borderId="19" xfId="1" applyFont="1" applyFill="1" applyBorder="1" applyAlignment="1">
      <alignment horizontal="justify" vertical="center" wrapText="1"/>
    </xf>
    <xf numFmtId="9" fontId="10" fillId="12" borderId="19" xfId="1" applyNumberFormat="1" applyFont="1" applyFill="1" applyBorder="1" applyAlignment="1">
      <alignment horizontal="center" vertical="center" wrapText="1"/>
    </xf>
    <xf numFmtId="165" fontId="12" fillId="0" borderId="19" xfId="1" applyNumberFormat="1" applyFont="1" applyBorder="1" applyAlignment="1">
      <alignment horizontal="center" vertical="center" wrapText="1"/>
    </xf>
    <xf numFmtId="0" fontId="10" fillId="0" borderId="22" xfId="1" applyBorder="1" applyAlignment="1">
      <alignment vertical="center"/>
    </xf>
    <xf numFmtId="0" fontId="17" fillId="12" borderId="79" xfId="1" applyFont="1" applyFill="1" applyBorder="1" applyAlignment="1">
      <alignment horizontal="center" vertical="center" wrapText="1"/>
    </xf>
    <xf numFmtId="165" fontId="10" fillId="0" borderId="95" xfId="1" applyNumberFormat="1" applyBorder="1" applyAlignment="1">
      <alignment horizontal="center" vertical="center" wrapText="1"/>
    </xf>
    <xf numFmtId="0" fontId="10" fillId="12" borderId="79" xfId="1" applyFont="1" applyFill="1" applyBorder="1" applyAlignment="1">
      <alignment horizontal="center" vertical="center" wrapText="1"/>
    </xf>
    <xf numFmtId="0" fontId="12" fillId="19" borderId="79" xfId="1" applyFont="1" applyFill="1" applyBorder="1" applyAlignment="1">
      <alignment horizontal="justify" vertical="center" wrapText="1"/>
    </xf>
    <xf numFmtId="9" fontId="10" fillId="12" borderId="79" xfId="1" applyNumberFormat="1" applyFont="1" applyFill="1" applyBorder="1" applyAlignment="1">
      <alignment horizontal="center" vertical="center" wrapText="1"/>
    </xf>
    <xf numFmtId="9" fontId="10" fillId="12" borderId="32" xfId="1" applyNumberFormat="1" applyFont="1" applyFill="1" applyBorder="1" applyAlignment="1">
      <alignment horizontal="center" vertical="center" wrapText="1"/>
    </xf>
    <xf numFmtId="0" fontId="10" fillId="0" borderId="74" xfId="1" applyBorder="1" applyAlignment="1">
      <alignment horizontal="center" vertical="center" wrapText="1"/>
    </xf>
    <xf numFmtId="0" fontId="10" fillId="0" borderId="75" xfId="1" applyBorder="1" applyAlignment="1">
      <alignment horizontal="center" vertical="center" wrapText="1"/>
    </xf>
    <xf numFmtId="0" fontId="10" fillId="0" borderId="62" xfId="1" applyBorder="1" applyAlignment="1">
      <alignment vertical="center"/>
    </xf>
    <xf numFmtId="0" fontId="22" fillId="6" borderId="19" xfId="1" applyFont="1" applyFill="1" applyBorder="1" applyAlignment="1">
      <alignment horizontal="justify" vertical="center" wrapText="1"/>
    </xf>
    <xf numFmtId="0" fontId="10" fillId="0" borderId="80" xfId="1" applyBorder="1" applyAlignment="1">
      <alignment horizontal="center" vertical="center" wrapText="1"/>
    </xf>
    <xf numFmtId="0" fontId="10" fillId="40" borderId="79" xfId="1" applyFont="1" applyFill="1" applyBorder="1" applyAlignment="1">
      <alignment horizontal="center" vertical="center"/>
    </xf>
    <xf numFmtId="0" fontId="10" fillId="6" borderId="79" xfId="1" applyFill="1" applyBorder="1" applyAlignment="1">
      <alignment horizontal="justify" vertical="center"/>
    </xf>
    <xf numFmtId="9" fontId="16" fillId="40" borderId="79" xfId="1" applyNumberFormat="1" applyFont="1" applyFill="1" applyBorder="1" applyAlignment="1">
      <alignment horizontal="center" vertical="center" wrapText="1"/>
    </xf>
    <xf numFmtId="0" fontId="10" fillId="6" borderId="79" xfId="1" applyFont="1" applyFill="1" applyBorder="1" applyAlignment="1">
      <alignment horizontal="justify" vertical="center"/>
    </xf>
    <xf numFmtId="0" fontId="10" fillId="6" borderId="32" xfId="1" applyFont="1" applyFill="1" applyBorder="1" applyAlignment="1">
      <alignment horizontal="justify" vertical="center"/>
    </xf>
    <xf numFmtId="9" fontId="16" fillId="40" borderId="32" xfId="1" applyNumberFormat="1" applyFont="1" applyFill="1" applyBorder="1" applyAlignment="1">
      <alignment horizontal="center" vertical="center" wrapText="1"/>
    </xf>
    <xf numFmtId="9" fontId="26" fillId="65" borderId="19" xfId="1" applyNumberFormat="1" applyFont="1" applyFill="1" applyBorder="1" applyAlignment="1">
      <alignment horizontal="center" vertical="center" wrapText="1"/>
    </xf>
    <xf numFmtId="0" fontId="22" fillId="65" borderId="79" xfId="1" applyFont="1" applyFill="1" applyBorder="1" applyAlignment="1">
      <alignment horizontal="center" vertical="center" wrapText="1"/>
    </xf>
    <xf numFmtId="168" fontId="10" fillId="0" borderId="79" xfId="1" applyNumberFormat="1" applyBorder="1" applyAlignment="1">
      <alignment horizontal="center" vertical="center" wrapText="1"/>
    </xf>
    <xf numFmtId="9" fontId="21" fillId="65" borderId="79" xfId="0" applyNumberFormat="1" applyFont="1" applyFill="1" applyBorder="1" applyAlignment="1">
      <alignment horizontal="center" vertical="center" wrapText="1"/>
    </xf>
    <xf numFmtId="9" fontId="10" fillId="65" borderId="79" xfId="0" applyNumberFormat="1" applyFont="1" applyFill="1" applyBorder="1" applyAlignment="1">
      <alignment horizontal="center" vertical="center" wrapText="1"/>
    </xf>
    <xf numFmtId="10" fontId="123" fillId="6" borderId="79" xfId="3" applyNumberFormat="1" applyFont="1" applyFill="1" applyBorder="1" applyAlignment="1">
      <alignment horizontal="center" vertical="center"/>
    </xf>
    <xf numFmtId="10" fontId="16" fillId="13" borderId="79" xfId="3" applyNumberFormat="1" applyFont="1" applyFill="1" applyBorder="1" applyAlignment="1">
      <alignment horizontal="center" vertical="center"/>
    </xf>
    <xf numFmtId="9" fontId="10" fillId="65" borderId="79" xfId="1" applyNumberFormat="1" applyFont="1" applyFill="1" applyBorder="1" applyAlignment="1">
      <alignment horizontal="center" vertical="center" wrapText="1"/>
    </xf>
    <xf numFmtId="0" fontId="207" fillId="6" borderId="32" xfId="1" applyFont="1" applyFill="1" applyBorder="1" applyAlignment="1">
      <alignment horizontal="justify" vertical="center" wrapText="1"/>
    </xf>
    <xf numFmtId="9" fontId="10" fillId="65" borderId="32" xfId="1" applyNumberFormat="1" applyFont="1" applyFill="1" applyBorder="1" applyAlignment="1">
      <alignment horizontal="center" vertical="center" wrapText="1"/>
    </xf>
    <xf numFmtId="0" fontId="17" fillId="43" borderId="3" xfId="1" applyFont="1" applyFill="1" applyBorder="1" applyAlignment="1">
      <alignment horizontal="center" vertical="center" wrapText="1"/>
    </xf>
    <xf numFmtId="0" fontId="13" fillId="3" borderId="3" xfId="1" applyFont="1" applyFill="1" applyBorder="1" applyAlignment="1">
      <alignment horizontal="justify" vertical="center" wrapText="1"/>
    </xf>
    <xf numFmtId="0" fontId="10" fillId="65" borderId="3" xfId="1" applyFont="1" applyFill="1" applyBorder="1" applyAlignment="1">
      <alignment horizontal="center" vertical="center" wrapText="1"/>
    </xf>
    <xf numFmtId="0" fontId="10" fillId="0" borderId="3" xfId="1" applyBorder="1" applyAlignment="1">
      <alignment horizontal="center" vertical="center" wrapText="1"/>
    </xf>
    <xf numFmtId="0" fontId="10" fillId="0" borderId="3" xfId="1" applyBorder="1" applyAlignment="1">
      <alignment vertical="center"/>
    </xf>
    <xf numFmtId="0" fontId="10" fillId="6" borderId="19" xfId="0" applyFont="1" applyFill="1" applyBorder="1" applyAlignment="1">
      <alignment horizontal="justify" vertical="center" wrapText="1"/>
    </xf>
    <xf numFmtId="9" fontId="10" fillId="66" borderId="19" xfId="1" applyNumberFormat="1" applyFont="1" applyFill="1" applyBorder="1" applyAlignment="1">
      <alignment horizontal="center" vertical="center" wrapText="1"/>
    </xf>
    <xf numFmtId="10" fontId="23" fillId="6" borderId="19" xfId="3" applyNumberFormat="1" applyFont="1" applyFill="1" applyBorder="1" applyAlignment="1">
      <alignment horizontal="center" vertical="center"/>
    </xf>
    <xf numFmtId="10" fontId="10" fillId="6" borderId="19" xfId="3" applyNumberFormat="1" applyFont="1" applyFill="1" applyBorder="1" applyAlignment="1">
      <alignment horizontal="center" vertical="center"/>
    </xf>
    <xf numFmtId="0" fontId="13" fillId="3" borderId="79" xfId="1" applyFont="1" applyFill="1" applyBorder="1" applyAlignment="1">
      <alignment horizontal="justify" vertical="center" wrapText="1"/>
    </xf>
    <xf numFmtId="0" fontId="10" fillId="66" borderId="79" xfId="1" applyFont="1" applyFill="1" applyBorder="1" applyAlignment="1">
      <alignment horizontal="center" vertical="center" wrapText="1"/>
    </xf>
    <xf numFmtId="0" fontId="10" fillId="6" borderId="79" xfId="0" applyFont="1" applyFill="1" applyBorder="1" applyAlignment="1">
      <alignment horizontal="justify" vertical="center" wrapText="1"/>
    </xf>
    <xf numFmtId="9" fontId="10" fillId="66" borderId="79" xfId="1" applyNumberFormat="1" applyFont="1" applyFill="1" applyBorder="1" applyAlignment="1">
      <alignment horizontal="center" vertical="center" wrapText="1"/>
    </xf>
    <xf numFmtId="10" fontId="70" fillId="6" borderId="79" xfId="3" applyNumberFormat="1" applyFont="1" applyFill="1" applyBorder="1" applyAlignment="1">
      <alignment horizontal="center" vertical="center"/>
    </xf>
    <xf numFmtId="10" fontId="23" fillId="6" borderId="79" xfId="3" applyNumberFormat="1" applyFont="1" applyFill="1" applyBorder="1" applyAlignment="1">
      <alignment horizontal="center" vertical="center"/>
    </xf>
    <xf numFmtId="10" fontId="91" fillId="6" borderId="79" xfId="3" applyNumberFormat="1" applyFont="1" applyFill="1" applyBorder="1" applyAlignment="1">
      <alignment horizontal="center" vertical="center"/>
    </xf>
    <xf numFmtId="10" fontId="55" fillId="6" borderId="79" xfId="3" applyNumberFormat="1" applyFont="1" applyFill="1" applyBorder="1" applyAlignment="1">
      <alignment horizontal="center" vertical="center"/>
    </xf>
    <xf numFmtId="0" fontId="13" fillId="6" borderId="79" xfId="1" applyFont="1" applyFill="1" applyBorder="1" applyAlignment="1">
      <alignment horizontal="justify" vertical="center" wrapText="1"/>
    </xf>
    <xf numFmtId="0" fontId="10" fillId="6" borderId="80" xfId="1" applyFont="1" applyFill="1" applyBorder="1" applyAlignment="1">
      <alignment horizontal="justify" vertical="center" wrapText="1"/>
    </xf>
    <xf numFmtId="0" fontId="10" fillId="0" borderId="80" xfId="1" applyFont="1" applyBorder="1" applyAlignment="1">
      <alignment horizontal="center" vertical="center" wrapText="1"/>
    </xf>
    <xf numFmtId="0" fontId="10" fillId="0" borderId="79" xfId="1" applyFont="1" applyBorder="1" applyAlignment="1">
      <alignment horizontal="center" vertical="center" wrapText="1"/>
    </xf>
    <xf numFmtId="0" fontId="10" fillId="0" borderId="83" xfId="1" applyFont="1" applyBorder="1" applyAlignment="1">
      <alignment horizontal="center" vertical="center" wrapText="1"/>
    </xf>
    <xf numFmtId="9" fontId="10" fillId="39" borderId="19" xfId="1" applyNumberFormat="1" applyFont="1" applyFill="1" applyBorder="1" applyAlignment="1">
      <alignment horizontal="center" vertical="center" wrapText="1"/>
    </xf>
    <xf numFmtId="9" fontId="10" fillId="39" borderId="79" xfId="1" applyNumberFormat="1" applyFont="1" applyFill="1" applyBorder="1" applyAlignment="1">
      <alignment horizontal="center" vertical="center" wrapText="1"/>
    </xf>
    <xf numFmtId="0" fontId="10" fillId="0" borderId="84" xfId="1" applyBorder="1" applyAlignment="1">
      <alignment horizontal="justify" vertical="center" wrapText="1"/>
    </xf>
    <xf numFmtId="0" fontId="10" fillId="0" borderId="79" xfId="1" applyBorder="1" applyAlignment="1">
      <alignment horizontal="justify" vertical="center" wrapText="1"/>
    </xf>
    <xf numFmtId="166" fontId="10" fillId="0" borderId="79" xfId="18" applyNumberFormat="1" applyFont="1" applyBorder="1" applyAlignment="1">
      <alignment horizontal="justify" vertical="center" wrapText="1"/>
    </xf>
    <xf numFmtId="166" fontId="10" fillId="0" borderId="10" xfId="18" applyNumberFormat="1" applyFont="1" applyBorder="1" applyAlignment="1">
      <alignment horizontal="justify" vertical="center" wrapText="1"/>
    </xf>
    <xf numFmtId="0" fontId="10" fillId="19" borderId="79" xfId="1" applyFill="1" applyBorder="1" applyAlignment="1">
      <alignment horizontal="justify" vertical="center"/>
    </xf>
    <xf numFmtId="166" fontId="10" fillId="0" borderId="94" xfId="18" applyNumberFormat="1" applyFont="1" applyBorder="1" applyAlignment="1">
      <alignment horizontal="center" vertical="center" wrapText="1"/>
    </xf>
    <xf numFmtId="0" fontId="12" fillId="6" borderId="79" xfId="1" applyFont="1" applyFill="1" applyBorder="1" applyAlignment="1">
      <alignment horizontal="center" vertical="center" wrapText="1"/>
    </xf>
    <xf numFmtId="0" fontId="10" fillId="39" borderId="79" xfId="1" applyFont="1" applyFill="1" applyBorder="1" applyAlignment="1">
      <alignment horizontal="center" vertical="center" wrapText="1"/>
    </xf>
    <xf numFmtId="0" fontId="22" fillId="19" borderId="79" xfId="1" applyFont="1" applyFill="1" applyBorder="1" applyAlignment="1">
      <alignment horizontal="justify" vertical="center" wrapText="1"/>
    </xf>
    <xf numFmtId="0" fontId="10" fillId="6" borderId="79" xfId="1" applyFont="1" applyFill="1" applyBorder="1" applyAlignment="1">
      <alignment horizontal="center" vertical="center" wrapText="1"/>
    </xf>
    <xf numFmtId="0" fontId="22" fillId="3" borderId="79" xfId="1" applyFont="1" applyFill="1" applyBorder="1" applyAlignment="1">
      <alignment horizontal="justify" vertical="center" wrapText="1"/>
    </xf>
    <xf numFmtId="0" fontId="10" fillId="39" borderId="32" xfId="1" applyFont="1" applyFill="1" applyBorder="1" applyAlignment="1">
      <alignment horizontal="center" vertical="center" wrapText="1"/>
    </xf>
    <xf numFmtId="0" fontId="10" fillId="0" borderId="49" xfId="1" applyBorder="1" applyAlignment="1">
      <alignment horizontal="center" vertical="center" wrapText="1"/>
    </xf>
    <xf numFmtId="0" fontId="10" fillId="0" borderId="49" xfId="1" applyBorder="1" applyAlignment="1">
      <alignment vertical="center"/>
    </xf>
    <xf numFmtId="166" fontId="10" fillId="0" borderId="49" xfId="18" applyNumberFormat="1" applyFont="1" applyBorder="1" applyAlignment="1">
      <alignment horizontal="center" vertical="center" wrapText="1"/>
    </xf>
    <xf numFmtId="166" fontId="10" fillId="0" borderId="50" xfId="18" applyNumberFormat="1" applyFont="1" applyBorder="1" applyAlignment="1">
      <alignment horizontal="center" vertical="center" wrapText="1"/>
    </xf>
    <xf numFmtId="9" fontId="10" fillId="38" borderId="19" xfId="1" applyNumberFormat="1" applyFont="1" applyFill="1" applyBorder="1" applyAlignment="1">
      <alignment horizontal="center" vertical="center" wrapText="1"/>
    </xf>
    <xf numFmtId="0" fontId="10" fillId="0" borderId="39" xfId="1" applyBorder="1" applyAlignment="1">
      <alignment horizontal="center" vertical="center" wrapText="1"/>
    </xf>
    <xf numFmtId="10" fontId="10" fillId="0" borderId="39" xfId="1" applyNumberFormat="1" applyBorder="1" applyAlignment="1">
      <alignment horizontal="center" vertical="center" wrapText="1"/>
    </xf>
    <xf numFmtId="0" fontId="10" fillId="0" borderId="39" xfId="1" applyBorder="1" applyAlignment="1">
      <alignment vertical="center"/>
    </xf>
    <xf numFmtId="166" fontId="10" fillId="0" borderId="39" xfId="18" applyNumberFormat="1" applyFont="1" applyBorder="1" applyAlignment="1">
      <alignment horizontal="center" vertical="center" wrapText="1"/>
    </xf>
    <xf numFmtId="166" fontId="10" fillId="0" borderId="47" xfId="18" applyNumberFormat="1" applyFont="1" applyBorder="1" applyAlignment="1">
      <alignment horizontal="center" vertical="center" wrapText="1"/>
    </xf>
    <xf numFmtId="9" fontId="10" fillId="38" borderId="79" xfId="1" applyNumberFormat="1" applyFont="1" applyFill="1" applyBorder="1" applyAlignment="1">
      <alignment horizontal="center" vertical="center" wrapText="1"/>
    </xf>
    <xf numFmtId="0" fontId="10" fillId="0" borderId="0" xfId="1" applyBorder="1" applyAlignment="1">
      <alignment horizontal="center" vertical="center" wrapText="1"/>
    </xf>
    <xf numFmtId="10" fontId="10" fillId="0" borderId="0" xfId="1" applyNumberFormat="1" applyBorder="1" applyAlignment="1">
      <alignment horizontal="center" vertical="center" wrapText="1"/>
    </xf>
    <xf numFmtId="0" fontId="10" fillId="0" borderId="0" xfId="1" applyBorder="1" applyAlignment="1">
      <alignment vertical="center"/>
    </xf>
    <xf numFmtId="166" fontId="10" fillId="0" borderId="44" xfId="18" applyNumberFormat="1" applyFont="1" applyBorder="1" applyAlignment="1">
      <alignment horizontal="center" vertical="center" wrapText="1"/>
    </xf>
    <xf numFmtId="9" fontId="10" fillId="38" borderId="32" xfId="1" applyNumberFormat="1" applyFont="1" applyFill="1" applyBorder="1" applyAlignment="1">
      <alignment horizontal="center" vertical="center" wrapText="1"/>
    </xf>
    <xf numFmtId="0" fontId="16" fillId="19" borderId="80" xfId="1" applyFont="1" applyFill="1" applyBorder="1" applyAlignment="1">
      <alignment horizontal="justify" vertical="center" wrapText="1"/>
    </xf>
    <xf numFmtId="166" fontId="10" fillId="0" borderId="91" xfId="18" applyNumberFormat="1" applyFont="1" applyBorder="1" applyAlignment="1">
      <alignment horizontal="center" vertical="center" wrapText="1"/>
    </xf>
    <xf numFmtId="0" fontId="16" fillId="19" borderId="79" xfId="1" applyFont="1" applyFill="1" applyBorder="1" applyAlignment="1">
      <alignment horizontal="justify" vertical="center" wrapText="1"/>
    </xf>
    <xf numFmtId="0" fontId="16" fillId="19" borderId="83" xfId="1" applyFont="1" applyFill="1" applyBorder="1" applyAlignment="1">
      <alignment horizontal="justify" vertical="center" wrapText="1"/>
    </xf>
    <xf numFmtId="9" fontId="19" fillId="39" borderId="19" xfId="1" applyNumberFormat="1" applyFont="1" applyFill="1" applyBorder="1" applyAlignment="1">
      <alignment horizontal="center" vertical="center" wrapText="1"/>
    </xf>
    <xf numFmtId="9" fontId="19" fillId="39" borderId="79" xfId="1" applyNumberFormat="1" applyFont="1" applyFill="1" applyBorder="1" applyAlignment="1">
      <alignment horizontal="center" vertical="center" wrapText="1"/>
    </xf>
    <xf numFmtId="0" fontId="12" fillId="6" borderId="32" xfId="1" applyFont="1" applyFill="1" applyBorder="1" applyAlignment="1">
      <alignment horizontal="justify" vertical="center" wrapText="1"/>
    </xf>
    <xf numFmtId="9" fontId="19" fillId="39" borderId="32" xfId="1" applyNumberFormat="1" applyFont="1" applyFill="1" applyBorder="1" applyAlignment="1">
      <alignment horizontal="center" vertical="center" wrapText="1"/>
    </xf>
    <xf numFmtId="0" fontId="16" fillId="3" borderId="19" xfId="1" applyFont="1" applyFill="1" applyBorder="1" applyAlignment="1">
      <alignment horizontal="justify" vertical="center" wrapText="1"/>
    </xf>
    <xf numFmtId="9" fontId="10" fillId="42" borderId="19" xfId="1" applyNumberFormat="1" applyFont="1" applyFill="1" applyBorder="1" applyAlignment="1">
      <alignment horizontal="center" vertical="center" wrapText="1"/>
    </xf>
    <xf numFmtId="0" fontId="31" fillId="0" borderId="0" xfId="1" applyFont="1" applyBorder="1" applyAlignment="1">
      <alignment horizontal="center" vertical="center" wrapText="1"/>
    </xf>
    <xf numFmtId="0" fontId="31" fillId="0" borderId="44" xfId="1" applyFont="1" applyBorder="1" applyAlignment="1">
      <alignment horizontal="center" vertical="center" wrapText="1"/>
    </xf>
    <xf numFmtId="0" fontId="71" fillId="3" borderId="32" xfId="1" applyFont="1" applyFill="1" applyBorder="1" applyAlignment="1">
      <alignment horizontal="justify" vertical="center" wrapText="1"/>
    </xf>
    <xf numFmtId="9" fontId="10" fillId="6" borderId="32" xfId="1" applyNumberFormat="1" applyFont="1" applyFill="1" applyBorder="1" applyAlignment="1">
      <alignment horizontal="justify" vertical="center" wrapText="1"/>
    </xf>
    <xf numFmtId="0" fontId="31" fillId="0" borderId="49" xfId="1" applyFont="1" applyBorder="1" applyAlignment="1">
      <alignment horizontal="center" vertical="center" wrapText="1"/>
    </xf>
    <xf numFmtId="9" fontId="23" fillId="39" borderId="79" xfId="1" applyNumberFormat="1" applyFont="1" applyFill="1" applyBorder="1" applyAlignment="1">
      <alignment horizontal="center" vertical="center" wrapText="1"/>
    </xf>
    <xf numFmtId="0" fontId="16" fillId="6" borderId="19" xfId="1" applyFont="1" applyFill="1" applyBorder="1" applyAlignment="1">
      <alignment horizontal="justify" vertical="center" wrapText="1"/>
    </xf>
    <xf numFmtId="9" fontId="10" fillId="33" borderId="19" xfId="1" applyNumberFormat="1" applyFont="1" applyFill="1" applyBorder="1" applyAlignment="1">
      <alignment horizontal="center" vertical="center" wrapText="1"/>
    </xf>
    <xf numFmtId="0" fontId="16" fillId="6" borderId="32" xfId="1" applyFont="1" applyFill="1" applyBorder="1" applyAlignment="1">
      <alignment horizontal="justify" vertical="center" wrapText="1"/>
    </xf>
    <xf numFmtId="0" fontId="10" fillId="33" borderId="32" xfId="1" applyFont="1" applyFill="1" applyBorder="1" applyAlignment="1">
      <alignment horizontal="center" vertical="center"/>
    </xf>
    <xf numFmtId="0" fontId="16" fillId="3" borderId="32" xfId="1" applyFont="1" applyFill="1" applyBorder="1" applyAlignment="1">
      <alignment horizontal="justify" vertical="center" wrapText="1"/>
    </xf>
    <xf numFmtId="0" fontId="70" fillId="3" borderId="19" xfId="1" applyFont="1" applyFill="1" applyBorder="1" applyAlignment="1">
      <alignment horizontal="justify" vertical="center" wrapText="1"/>
    </xf>
    <xf numFmtId="41" fontId="24" fillId="63" borderId="19" xfId="31" applyFont="1" applyFill="1" applyBorder="1" applyAlignment="1">
      <alignment horizontal="center" vertical="center" wrapText="1"/>
    </xf>
    <xf numFmtId="165" fontId="24" fillId="63" borderId="79" xfId="1" applyNumberFormat="1" applyFont="1" applyFill="1" applyBorder="1" applyAlignment="1">
      <alignment horizontal="center" vertical="center" wrapText="1"/>
    </xf>
    <xf numFmtId="41" fontId="24" fillId="63" borderId="79" xfId="31" applyFont="1" applyFill="1" applyBorder="1" applyAlignment="1">
      <alignment horizontal="center" vertical="center" wrapText="1"/>
    </xf>
    <xf numFmtId="165" fontId="24" fillId="63" borderId="32" xfId="1" applyNumberFormat="1" applyFont="1" applyFill="1" applyBorder="1" applyAlignment="1">
      <alignment horizontal="center" vertical="center" wrapText="1"/>
    </xf>
    <xf numFmtId="0" fontId="10" fillId="6" borderId="0" xfId="1" applyFont="1" applyFill="1" applyAlignment="1">
      <alignment horizontal="justify" vertical="center" wrapText="1"/>
    </xf>
    <xf numFmtId="2" fontId="10" fillId="0" borderId="0" xfId="1" applyNumberFormat="1"/>
    <xf numFmtId="0" fontId="17" fillId="15" borderId="47" xfId="17" applyFont="1" applyFill="1" applyBorder="1" applyAlignment="1">
      <alignment vertical="center" wrapText="1"/>
    </xf>
    <xf numFmtId="0" fontId="17" fillId="15" borderId="42" xfId="17" applyFont="1" applyFill="1" applyBorder="1" applyAlignment="1">
      <alignment vertical="center" wrapText="1"/>
    </xf>
    <xf numFmtId="0" fontId="115" fillId="6" borderId="33" xfId="38" applyFont="1" applyFill="1" applyBorder="1" applyAlignment="1">
      <alignment horizontal="center" vertical="center"/>
    </xf>
    <xf numFmtId="0" fontId="115" fillId="6" borderId="70" xfId="38" applyFont="1" applyFill="1" applyBorder="1" applyAlignment="1">
      <alignment horizontal="center" vertical="center"/>
    </xf>
    <xf numFmtId="0" fontId="200" fillId="30" borderId="80" xfId="0" applyFont="1" applyFill="1" applyBorder="1" applyAlignment="1">
      <alignment horizontal="left" vertical="center" wrapText="1"/>
    </xf>
    <xf numFmtId="0" fontId="204" fillId="30" borderId="80" xfId="0" applyFont="1" applyFill="1" applyBorder="1" applyAlignment="1">
      <alignment horizontal="center" vertical="center" wrapText="1"/>
    </xf>
    <xf numFmtId="0" fontId="202" fillId="30" borderId="80" xfId="0" applyFont="1" applyFill="1" applyBorder="1" applyAlignment="1">
      <alignment horizontal="center" vertical="center" wrapText="1"/>
    </xf>
    <xf numFmtId="0" fontId="76" fillId="6" borderId="80" xfId="0" applyFont="1" applyFill="1" applyBorder="1" applyAlignment="1">
      <alignment horizontal="center" vertical="center" wrapText="1"/>
    </xf>
    <xf numFmtId="0" fontId="30" fillId="6" borderId="80" xfId="0" applyFont="1" applyFill="1" applyBorder="1" applyAlignment="1">
      <alignment horizontal="center" vertical="center" wrapText="1"/>
    </xf>
    <xf numFmtId="0" fontId="30" fillId="28" borderId="80" xfId="0" applyFont="1" applyFill="1" applyBorder="1" applyAlignment="1">
      <alignment horizontal="center" vertical="center" wrapText="1"/>
    </xf>
    <xf numFmtId="0" fontId="30" fillId="12" borderId="80" xfId="0" applyFont="1" applyFill="1" applyBorder="1" applyAlignment="1">
      <alignment horizontal="center" vertical="center" wrapText="1"/>
    </xf>
    <xf numFmtId="0" fontId="76" fillId="53" borderId="80" xfId="0" applyFont="1" applyFill="1" applyBorder="1" applyAlignment="1">
      <alignment horizontal="center" vertical="center" wrapText="1"/>
    </xf>
    <xf numFmtId="0" fontId="213" fillId="30" borderId="79" xfId="0" applyFont="1" applyFill="1" applyBorder="1" applyAlignment="1">
      <alignment horizontal="center" vertical="center" wrapText="1"/>
    </xf>
    <xf numFmtId="0" fontId="214" fillId="30" borderId="79" xfId="0" applyFont="1" applyFill="1" applyBorder="1" applyAlignment="1">
      <alignment horizontal="center" vertical="center" wrapText="1"/>
    </xf>
    <xf numFmtId="0" fontId="30" fillId="53" borderId="79" xfId="0" applyFont="1" applyFill="1" applyBorder="1" applyAlignment="1">
      <alignment horizontal="center" vertical="center" wrapText="1"/>
    </xf>
    <xf numFmtId="0" fontId="12" fillId="39" borderId="58" xfId="35" applyFont="1" applyFill="1" applyBorder="1" applyAlignment="1">
      <alignment vertical="center" wrapText="1"/>
    </xf>
    <xf numFmtId="41" fontId="16" fillId="56" borderId="87" xfId="31" applyFont="1" applyFill="1" applyBorder="1" applyAlignment="1">
      <alignment horizontal="center" vertical="center" wrapText="1"/>
    </xf>
    <xf numFmtId="41" fontId="16" fillId="56" borderId="8" xfId="31" applyFont="1" applyFill="1" applyBorder="1" applyAlignment="1">
      <alignment horizontal="center" vertical="center" wrapText="1"/>
    </xf>
    <xf numFmtId="41" fontId="16" fillId="56" borderId="84" xfId="31" applyFont="1" applyFill="1" applyBorder="1" applyAlignment="1">
      <alignment horizontal="center" vertical="center" wrapText="1"/>
    </xf>
    <xf numFmtId="10" fontId="16" fillId="56" borderId="79" xfId="1" applyNumberFormat="1" applyFont="1" applyFill="1" applyBorder="1" applyAlignment="1">
      <alignment horizontal="center" vertical="center" wrapText="1"/>
    </xf>
    <xf numFmtId="10" fontId="16" fillId="56" borderId="79" xfId="1" applyNumberFormat="1" applyFont="1" applyFill="1" applyBorder="1"/>
    <xf numFmtId="10" fontId="19" fillId="6" borderId="87" xfId="1" applyNumberFormat="1" applyFont="1" applyFill="1" applyBorder="1" applyAlignment="1">
      <alignment horizontal="center" vertical="center" wrapText="1"/>
    </xf>
    <xf numFmtId="10" fontId="19" fillId="6" borderId="8" xfId="1" applyNumberFormat="1" applyFont="1" applyFill="1" applyBorder="1" applyAlignment="1">
      <alignment horizontal="center" vertical="center" wrapText="1"/>
    </xf>
    <xf numFmtId="10" fontId="19" fillId="6" borderId="84" xfId="1" applyNumberFormat="1" applyFont="1" applyFill="1" applyBorder="1" applyAlignment="1">
      <alignment horizontal="center" vertical="center" wrapText="1"/>
    </xf>
    <xf numFmtId="0" fontId="69" fillId="14" borderId="16" xfId="1" applyFont="1" applyFill="1" applyBorder="1" applyAlignment="1">
      <alignment horizontal="center" vertical="center" wrapText="1"/>
    </xf>
    <xf numFmtId="165" fontId="16" fillId="6" borderId="2" xfId="1" applyNumberFormat="1" applyFont="1" applyFill="1" applyBorder="1" applyAlignment="1">
      <alignment horizontal="center" vertical="center"/>
    </xf>
    <xf numFmtId="166" fontId="10" fillId="0" borderId="88" xfId="18" applyNumberFormat="1" applyFont="1" applyBorder="1" applyAlignment="1">
      <alignment horizontal="center" vertical="center" wrapText="1"/>
    </xf>
    <xf numFmtId="166" fontId="10" fillId="0" borderId="0" xfId="18" applyNumberFormat="1" applyFont="1" applyBorder="1" applyAlignment="1">
      <alignment horizontal="center" vertical="center" wrapText="1"/>
    </xf>
    <xf numFmtId="10" fontId="16" fillId="6" borderId="79" xfId="1" applyNumberFormat="1" applyFont="1" applyFill="1" applyBorder="1" applyAlignment="1">
      <alignment horizontal="center" vertical="center" wrapText="1"/>
    </xf>
    <xf numFmtId="10" fontId="16" fillId="6" borderId="79" xfId="1" applyNumberFormat="1" applyFont="1" applyFill="1" applyBorder="1"/>
    <xf numFmtId="0" fontId="14" fillId="3" borderId="19" xfId="1" applyFont="1" applyFill="1" applyBorder="1" applyAlignment="1">
      <alignment horizontal="justify" vertical="center" wrapText="1"/>
    </xf>
    <xf numFmtId="0" fontId="14" fillId="3" borderId="2" xfId="1" applyFont="1" applyFill="1" applyBorder="1" applyAlignment="1">
      <alignment horizontal="justify" vertical="center" wrapText="1"/>
    </xf>
    <xf numFmtId="0" fontId="10" fillId="6" borderId="19" xfId="1" applyFill="1" applyBorder="1" applyAlignment="1">
      <alignment horizontal="justify" vertical="center" wrapText="1"/>
    </xf>
    <xf numFmtId="0" fontId="10" fillId="6" borderId="2" xfId="1" applyFill="1" applyBorder="1" applyAlignment="1">
      <alignment horizontal="justify" vertical="center" wrapText="1"/>
    </xf>
    <xf numFmtId="171" fontId="19" fillId="56" borderId="87" xfId="31" applyNumberFormat="1" applyFont="1" applyFill="1" applyBorder="1" applyAlignment="1">
      <alignment horizontal="center" vertical="center" wrapText="1"/>
    </xf>
    <xf numFmtId="171" fontId="19" fillId="56" borderId="8" xfId="31" applyNumberFormat="1" applyFont="1" applyFill="1" applyBorder="1" applyAlignment="1">
      <alignment horizontal="center" vertical="center" wrapText="1"/>
    </xf>
    <xf numFmtId="171" fontId="19" fillId="56" borderId="84" xfId="31" applyNumberFormat="1" applyFont="1" applyFill="1" applyBorder="1" applyAlignment="1">
      <alignment horizontal="center" vertical="center" wrapText="1"/>
    </xf>
    <xf numFmtId="0" fontId="47" fillId="42" borderId="86" xfId="1" applyFont="1" applyFill="1" applyBorder="1" applyAlignment="1">
      <alignment horizontal="center" vertical="center"/>
    </xf>
    <xf numFmtId="0" fontId="47" fillId="42" borderId="45" xfId="1" applyFont="1" applyFill="1" applyBorder="1" applyAlignment="1">
      <alignment horizontal="center" vertical="center"/>
    </xf>
    <xf numFmtId="0" fontId="47" fillId="42" borderId="81" xfId="1" applyFont="1" applyFill="1" applyBorder="1" applyAlignment="1">
      <alignment horizontal="center" vertical="center"/>
    </xf>
    <xf numFmtId="10" fontId="19" fillId="13" borderId="2" xfId="1" applyNumberFormat="1" applyFont="1" applyFill="1" applyBorder="1" applyAlignment="1">
      <alignment horizontal="center" vertical="center" wrapText="1"/>
    </xf>
    <xf numFmtId="0" fontId="30" fillId="34" borderId="14" xfId="1" applyFont="1" applyFill="1" applyBorder="1" applyAlignment="1">
      <alignment horizontal="center" vertical="center" wrapText="1"/>
    </xf>
    <xf numFmtId="0" fontId="30" fillId="34" borderId="16" xfId="1" applyFont="1" applyFill="1" applyBorder="1" applyAlignment="1">
      <alignment horizontal="center" vertical="center" wrapText="1"/>
    </xf>
    <xf numFmtId="0" fontId="19" fillId="0" borderId="79" xfId="1" applyFont="1" applyBorder="1" applyAlignment="1">
      <alignment horizontal="center" vertical="center"/>
    </xf>
    <xf numFmtId="0" fontId="17" fillId="0" borderId="79" xfId="1" applyFont="1" applyBorder="1" applyAlignment="1">
      <alignment horizontal="center" vertical="center"/>
    </xf>
    <xf numFmtId="10" fontId="57" fillId="6" borderId="80" xfId="1" applyNumberFormat="1" applyFont="1" applyFill="1" applyBorder="1" applyAlignment="1">
      <alignment horizontal="center" vertical="center" wrapText="1"/>
    </xf>
    <xf numFmtId="10" fontId="57" fillId="6" borderId="80" xfId="1" applyNumberFormat="1" applyFont="1" applyFill="1" applyBorder="1"/>
    <xf numFmtId="10" fontId="57" fillId="6" borderId="79" xfId="1" applyNumberFormat="1" applyFont="1" applyFill="1" applyBorder="1" applyAlignment="1">
      <alignment horizontal="center" vertical="center" wrapText="1"/>
    </xf>
    <xf numFmtId="10" fontId="57" fillId="6" borderId="79" xfId="1" applyNumberFormat="1" applyFont="1" applyFill="1" applyBorder="1"/>
    <xf numFmtId="0" fontId="22" fillId="42" borderId="16" xfId="1" applyFont="1" applyFill="1" applyBorder="1" applyAlignment="1">
      <alignment horizontal="justify" vertical="center"/>
    </xf>
    <xf numFmtId="10" fontId="17" fillId="6" borderId="79" xfId="1" applyNumberFormat="1" applyFont="1" applyFill="1" applyBorder="1" applyAlignment="1">
      <alignment horizontal="center" vertical="center" wrapText="1"/>
    </xf>
    <xf numFmtId="0" fontId="22" fillId="42" borderId="14" xfId="1" applyFont="1" applyFill="1" applyBorder="1" applyAlignment="1">
      <alignment horizontal="center" vertical="center"/>
    </xf>
    <xf numFmtId="0" fontId="22" fillId="42" borderId="16" xfId="1" applyFont="1" applyFill="1" applyBorder="1" applyAlignment="1">
      <alignment horizontal="center" vertical="center"/>
    </xf>
    <xf numFmtId="0" fontId="16" fillId="3" borderId="2" xfId="1" applyFont="1" applyFill="1" applyBorder="1" applyAlignment="1">
      <alignment horizontal="justify" vertical="center" wrapText="1"/>
    </xf>
    <xf numFmtId="0" fontId="30" fillId="38" borderId="18" xfId="1" applyFont="1" applyFill="1" applyBorder="1" applyAlignment="1">
      <alignment horizontal="center" vertical="center" wrapText="1"/>
    </xf>
    <xf numFmtId="0" fontId="30" fillId="38" borderId="6" xfId="1" applyFont="1" applyFill="1" applyBorder="1" applyAlignment="1">
      <alignment horizontal="center" vertical="center" wrapText="1"/>
    </xf>
    <xf numFmtId="0" fontId="30" fillId="38" borderId="31" xfId="1" applyFont="1" applyFill="1" applyBorder="1" applyAlignment="1">
      <alignment horizontal="center" vertical="center" wrapText="1"/>
    </xf>
    <xf numFmtId="0" fontId="18" fillId="7" borderId="17" xfId="1" applyFont="1" applyFill="1" applyBorder="1" applyAlignment="1">
      <alignment horizontal="center" vertical="center" wrapText="1"/>
    </xf>
    <xf numFmtId="0" fontId="18" fillId="7" borderId="6" xfId="1" applyFont="1" applyFill="1" applyBorder="1" applyAlignment="1">
      <alignment horizontal="center" vertical="center" wrapText="1"/>
    </xf>
    <xf numFmtId="0" fontId="18" fillId="7" borderId="82" xfId="1" applyFont="1" applyFill="1" applyBorder="1" applyAlignment="1">
      <alignment horizontal="center" vertical="center" wrapText="1"/>
    </xf>
    <xf numFmtId="0" fontId="30" fillId="12" borderId="79" xfId="1" applyFont="1" applyFill="1" applyBorder="1" applyAlignment="1">
      <alignment horizontal="center" vertical="center" wrapText="1"/>
    </xf>
    <xf numFmtId="171" fontId="19" fillId="6" borderId="79" xfId="31" applyNumberFormat="1" applyFont="1" applyFill="1" applyBorder="1" applyAlignment="1">
      <alignment horizontal="center" vertical="center" wrapText="1"/>
    </xf>
    <xf numFmtId="10" fontId="19" fillId="6" borderId="79" xfId="1" applyNumberFormat="1" applyFont="1" applyFill="1" applyBorder="1" applyAlignment="1">
      <alignment horizontal="center" vertical="center" wrapText="1"/>
    </xf>
    <xf numFmtId="0" fontId="12" fillId="0" borderId="87" xfId="1" applyFont="1" applyBorder="1" applyAlignment="1">
      <alignment horizontal="center" vertical="center"/>
    </xf>
    <xf numFmtId="0" fontId="12" fillId="0" borderId="8" xfId="1" applyFont="1" applyBorder="1" applyAlignment="1">
      <alignment horizontal="center" vertical="center"/>
    </xf>
    <xf numFmtId="0" fontId="12" fillId="0" borderId="84" xfId="1" applyFont="1" applyBorder="1" applyAlignment="1">
      <alignment horizontal="center" vertical="center"/>
    </xf>
    <xf numFmtId="10" fontId="16" fillId="6" borderId="2" xfId="1" applyNumberFormat="1" applyFont="1" applyFill="1" applyBorder="1" applyAlignment="1">
      <alignment horizontal="center" vertical="center"/>
    </xf>
    <xf numFmtId="165" fontId="70" fillId="6" borderId="2" xfId="1" applyNumberFormat="1" applyFont="1" applyFill="1" applyBorder="1" applyAlignment="1">
      <alignment horizontal="center" vertical="center"/>
    </xf>
    <xf numFmtId="10" fontId="70" fillId="6" borderId="2" xfId="1" applyNumberFormat="1" applyFont="1" applyFill="1" applyBorder="1" applyAlignment="1">
      <alignment horizontal="center" vertical="center"/>
    </xf>
    <xf numFmtId="0" fontId="30" fillId="40" borderId="16" xfId="1" applyFont="1" applyFill="1" applyBorder="1" applyAlignment="1">
      <alignment horizontal="center" vertical="center" wrapText="1"/>
    </xf>
    <xf numFmtId="0" fontId="30" fillId="40" borderId="85" xfId="1" applyFont="1" applyFill="1" applyBorder="1" applyAlignment="1">
      <alignment horizontal="center" vertical="center" wrapText="1"/>
    </xf>
    <xf numFmtId="0" fontId="71" fillId="3" borderId="1" xfId="1" applyFont="1" applyFill="1" applyBorder="1" applyAlignment="1">
      <alignment horizontal="center" vertical="center" wrapText="1"/>
    </xf>
    <xf numFmtId="0" fontId="71" fillId="3" borderId="5" xfId="1" applyFont="1" applyFill="1" applyBorder="1" applyAlignment="1">
      <alignment horizontal="center" vertical="center" wrapText="1"/>
    </xf>
    <xf numFmtId="0" fontId="71" fillId="3" borderId="33"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3" xfId="1" applyFont="1" applyFill="1" applyBorder="1" applyAlignment="1">
      <alignment horizontal="center" vertical="center"/>
    </xf>
    <xf numFmtId="0" fontId="10" fillId="35" borderId="1" xfId="1" applyFill="1" applyBorder="1" applyAlignment="1">
      <alignment horizontal="justify" vertical="center"/>
    </xf>
    <xf numFmtId="0" fontId="10" fillId="35" borderId="3" xfId="1" applyFill="1" applyBorder="1" applyAlignment="1">
      <alignment horizontal="justify" vertical="center"/>
    </xf>
    <xf numFmtId="0" fontId="10" fillId="35" borderId="4" xfId="1" applyFill="1" applyBorder="1" applyAlignment="1">
      <alignment horizontal="justify" vertical="center"/>
    </xf>
    <xf numFmtId="0" fontId="13" fillId="2" borderId="2" xfId="1" applyFont="1" applyFill="1" applyBorder="1" applyAlignment="1">
      <alignment horizontal="center" vertical="center" wrapText="1"/>
    </xf>
    <xf numFmtId="10" fontId="19" fillId="6" borderId="2" xfId="1" applyNumberFormat="1" applyFont="1" applyFill="1" applyBorder="1" applyAlignment="1">
      <alignment horizontal="center" vertical="center" wrapText="1"/>
    </xf>
    <xf numFmtId="0" fontId="30" fillId="9" borderId="17" xfId="1" applyFont="1" applyFill="1" applyBorder="1" applyAlignment="1">
      <alignment horizontal="center" vertical="center" wrapText="1"/>
    </xf>
    <xf numFmtId="0" fontId="30" fillId="9" borderId="6" xfId="1" applyFont="1" applyFill="1" applyBorder="1" applyAlignment="1">
      <alignment horizontal="center" vertical="center" wrapText="1"/>
    </xf>
    <xf numFmtId="0" fontId="30" fillId="42" borderId="79" xfId="1" applyFont="1" applyFill="1" applyBorder="1" applyAlignment="1">
      <alignment horizontal="center" vertical="center" wrapText="1"/>
    </xf>
    <xf numFmtId="9" fontId="20" fillId="6" borderId="79" xfId="1" applyNumberFormat="1" applyFont="1" applyFill="1" applyBorder="1" applyAlignment="1">
      <alignment horizontal="center" vertical="center" wrapText="1"/>
    </xf>
    <xf numFmtId="9" fontId="20" fillId="6" borderId="19" xfId="1" applyNumberFormat="1" applyFont="1" applyFill="1" applyBorder="1" applyAlignment="1">
      <alignment horizontal="center" vertical="center" wrapText="1"/>
    </xf>
    <xf numFmtId="0" fontId="30" fillId="41" borderId="17" xfId="1" applyFont="1" applyFill="1" applyBorder="1" applyAlignment="1">
      <alignment horizontal="center" vertical="center" wrapText="1"/>
    </xf>
    <xf numFmtId="0" fontId="30" fillId="41" borderId="6" xfId="1" applyFont="1" applyFill="1" applyBorder="1" applyAlignment="1">
      <alignment horizontal="center" vertical="center" wrapText="1"/>
    </xf>
    <xf numFmtId="0" fontId="30" fillId="41" borderId="31" xfId="1" applyFont="1" applyFill="1" applyBorder="1" applyAlignment="1">
      <alignment horizontal="center" vertical="center" wrapText="1"/>
    </xf>
    <xf numFmtId="10" fontId="19" fillId="13" borderId="5" xfId="1" applyNumberFormat="1" applyFont="1" applyFill="1" applyBorder="1" applyAlignment="1">
      <alignment horizontal="center" vertical="center" wrapText="1"/>
    </xf>
    <xf numFmtId="10" fontId="16" fillId="6" borderId="19" xfId="1" applyNumberFormat="1" applyFont="1" applyFill="1" applyBorder="1" applyAlignment="1">
      <alignment horizontal="center" vertical="center" wrapText="1"/>
    </xf>
    <xf numFmtId="10" fontId="16" fillId="6" borderId="19" xfId="1" applyNumberFormat="1" applyFont="1" applyFill="1" applyBorder="1"/>
    <xf numFmtId="10" fontId="19" fillId="6" borderId="11" xfId="1" applyNumberFormat="1" applyFont="1" applyFill="1" applyBorder="1" applyAlignment="1">
      <alignment horizontal="center" vertical="center" wrapText="1"/>
    </xf>
    <xf numFmtId="10" fontId="19" fillId="6" borderId="88" xfId="1" applyNumberFormat="1" applyFont="1" applyFill="1" applyBorder="1" applyAlignment="1">
      <alignment horizontal="center" vertical="center" wrapText="1"/>
    </xf>
    <xf numFmtId="10" fontId="19" fillId="6" borderId="86" xfId="1" applyNumberFormat="1" applyFont="1" applyFill="1" applyBorder="1" applyAlignment="1">
      <alignment horizontal="center" vertical="center" wrapText="1"/>
    </xf>
    <xf numFmtId="10" fontId="21" fillId="6" borderId="7" xfId="1" applyNumberFormat="1" applyFont="1" applyFill="1" applyBorder="1" applyAlignment="1">
      <alignment horizontal="center" vertical="center" wrapText="1"/>
    </xf>
    <xf numFmtId="10" fontId="21" fillId="6" borderId="8" xfId="1" applyNumberFormat="1" applyFont="1" applyFill="1" applyBorder="1" applyAlignment="1">
      <alignment horizontal="center" vertical="center" wrapText="1"/>
    </xf>
    <xf numFmtId="10" fontId="21" fillId="6" borderId="9" xfId="1" applyNumberFormat="1" applyFont="1" applyFill="1" applyBorder="1" applyAlignment="1">
      <alignment horizontal="center" vertical="center" wrapText="1"/>
    </xf>
    <xf numFmtId="10" fontId="21" fillId="0" borderId="11" xfId="1" applyNumberFormat="1" applyFont="1" applyBorder="1" applyAlignment="1">
      <alignment horizontal="center" vertical="center" wrapText="1"/>
    </xf>
    <xf numFmtId="10" fontId="21" fillId="0" borderId="12" xfId="1" applyNumberFormat="1" applyFont="1" applyBorder="1" applyAlignment="1">
      <alignment horizontal="center" vertical="center" wrapText="1"/>
    </xf>
    <xf numFmtId="10" fontId="21" fillId="0" borderId="13" xfId="1" applyNumberFormat="1" applyFont="1" applyBorder="1" applyAlignment="1">
      <alignment horizontal="center" vertical="center" wrapText="1"/>
    </xf>
    <xf numFmtId="10" fontId="16" fillId="6" borderId="23" xfId="1" applyNumberFormat="1" applyFont="1" applyFill="1" applyBorder="1" applyAlignment="1">
      <alignment horizontal="center" vertical="center" wrapText="1"/>
    </xf>
    <xf numFmtId="10" fontId="16" fillId="6" borderId="24" xfId="1" applyNumberFormat="1" applyFont="1" applyFill="1" applyBorder="1" applyAlignment="1">
      <alignment horizontal="center" vertical="center" wrapText="1"/>
    </xf>
    <xf numFmtId="10" fontId="16" fillId="6" borderId="25" xfId="1" applyNumberFormat="1" applyFont="1" applyFill="1" applyBorder="1" applyAlignment="1">
      <alignment horizontal="center" vertical="center" wrapText="1"/>
    </xf>
    <xf numFmtId="10" fontId="16" fillId="0" borderId="7" xfId="1" applyNumberFormat="1" applyFont="1" applyBorder="1" applyAlignment="1">
      <alignment horizontal="center" vertical="center" wrapText="1"/>
    </xf>
    <xf numFmtId="10" fontId="16" fillId="0" borderId="8" xfId="1" applyNumberFormat="1" applyFont="1" applyBorder="1" applyAlignment="1">
      <alignment horizontal="center" vertical="center" wrapText="1"/>
    </xf>
    <xf numFmtId="10" fontId="16" fillId="0" borderId="9" xfId="1" applyNumberFormat="1" applyFont="1" applyBorder="1" applyAlignment="1">
      <alignment horizontal="center" vertical="center" wrapText="1"/>
    </xf>
    <xf numFmtId="10" fontId="16" fillId="6" borderId="7" xfId="1" applyNumberFormat="1" applyFont="1" applyFill="1" applyBorder="1" applyAlignment="1">
      <alignment horizontal="center" vertical="center" wrapText="1"/>
    </xf>
    <xf numFmtId="10" fontId="16" fillId="6" borderId="8" xfId="1" applyNumberFormat="1" applyFont="1" applyFill="1" applyBorder="1" applyAlignment="1">
      <alignment horizontal="center" vertical="center" wrapText="1"/>
    </xf>
    <xf numFmtId="10" fontId="16" fillId="6" borderId="9" xfId="1" applyNumberFormat="1" applyFont="1" applyFill="1" applyBorder="1" applyAlignment="1">
      <alignment horizontal="center" vertical="center" wrapText="1"/>
    </xf>
    <xf numFmtId="0" fontId="10" fillId="6" borderId="2" xfId="1" applyFill="1" applyBorder="1" applyAlignment="1">
      <alignment horizontal="center" vertical="center" wrapText="1"/>
    </xf>
    <xf numFmtId="0" fontId="10" fillId="6" borderId="32" xfId="1" applyFill="1" applyBorder="1" applyAlignment="1">
      <alignment horizontal="center" vertical="center" wrapText="1"/>
    </xf>
    <xf numFmtId="10" fontId="22" fillId="6" borderId="2" xfId="1" applyNumberFormat="1" applyFont="1" applyFill="1" applyBorder="1" applyAlignment="1">
      <alignment horizontal="center" vertical="center" wrapText="1"/>
    </xf>
    <xf numFmtId="10" fontId="20" fillId="6" borderId="2" xfId="1" applyNumberFormat="1" applyFont="1" applyFill="1" applyBorder="1" applyAlignment="1">
      <alignment horizontal="center" vertical="center" wrapText="1"/>
    </xf>
    <xf numFmtId="10" fontId="37" fillId="6" borderId="87" xfId="1" applyNumberFormat="1" applyFont="1" applyFill="1" applyBorder="1" applyAlignment="1">
      <alignment horizontal="center" vertical="center" wrapText="1"/>
    </xf>
    <xf numFmtId="10" fontId="37" fillId="6" borderId="8" xfId="1" applyNumberFormat="1" applyFont="1" applyFill="1" applyBorder="1" applyAlignment="1">
      <alignment horizontal="center" vertical="center" wrapText="1"/>
    </xf>
    <xf numFmtId="10" fontId="37" fillId="6" borderId="84" xfId="1" applyNumberFormat="1" applyFont="1" applyFill="1" applyBorder="1" applyAlignment="1">
      <alignment horizontal="center" vertical="center" wrapText="1"/>
    </xf>
    <xf numFmtId="10" fontId="19" fillId="56" borderId="87" xfId="1" applyNumberFormat="1" applyFont="1" applyFill="1" applyBorder="1" applyAlignment="1">
      <alignment horizontal="center" vertical="center" wrapText="1"/>
    </xf>
    <xf numFmtId="10" fontId="19" fillId="56" borderId="8" xfId="1" applyNumberFormat="1" applyFont="1" applyFill="1" applyBorder="1" applyAlignment="1">
      <alignment horizontal="center" vertical="center" wrapText="1"/>
    </xf>
    <xf numFmtId="10" fontId="19" fillId="56" borderId="84" xfId="1" applyNumberFormat="1" applyFont="1" applyFill="1" applyBorder="1" applyAlignment="1">
      <alignment horizontal="center" vertical="center" wrapText="1"/>
    </xf>
    <xf numFmtId="10" fontId="16" fillId="6" borderId="2" xfId="1" applyNumberFormat="1" applyFont="1" applyFill="1" applyBorder="1" applyAlignment="1">
      <alignment horizontal="center" vertical="center" wrapText="1"/>
    </xf>
    <xf numFmtId="10" fontId="20" fillId="13" borderId="2" xfId="1" applyNumberFormat="1" applyFont="1" applyFill="1" applyBorder="1" applyAlignment="1">
      <alignment horizontal="center" vertical="center" wrapText="1"/>
    </xf>
    <xf numFmtId="10" fontId="22" fillId="6" borderId="87" xfId="1" applyNumberFormat="1" applyFont="1" applyFill="1" applyBorder="1" applyAlignment="1">
      <alignment horizontal="center" vertical="center" wrapText="1"/>
    </xf>
    <xf numFmtId="10" fontId="22" fillId="6" borderId="8" xfId="1" applyNumberFormat="1" applyFont="1" applyFill="1" applyBorder="1" applyAlignment="1">
      <alignment horizontal="center" vertical="center" wrapText="1"/>
    </xf>
    <xf numFmtId="10" fontId="22" fillId="6" borderId="84" xfId="1" applyNumberFormat="1" applyFont="1" applyFill="1" applyBorder="1" applyAlignment="1">
      <alignment horizontal="center" vertical="center" wrapText="1"/>
    </xf>
    <xf numFmtId="171" fontId="23" fillId="6" borderId="2" xfId="1" applyNumberFormat="1" applyFont="1" applyFill="1" applyBorder="1" applyAlignment="1">
      <alignment vertical="center" wrapText="1"/>
    </xf>
    <xf numFmtId="10" fontId="23" fillId="6" borderId="2" xfId="1" applyNumberFormat="1" applyFont="1" applyFill="1" applyBorder="1" applyAlignment="1">
      <alignment vertical="center" wrapText="1"/>
    </xf>
    <xf numFmtId="0" fontId="134" fillId="3" borderId="83" xfId="1" applyFont="1" applyFill="1" applyBorder="1" applyAlignment="1">
      <alignment horizontal="center" vertical="center" wrapText="1"/>
    </xf>
    <xf numFmtId="10" fontId="16" fillId="6" borderId="83" xfId="3" applyNumberFormat="1" applyFont="1" applyFill="1" applyBorder="1" applyAlignment="1">
      <alignment horizontal="center" vertical="center"/>
    </xf>
    <xf numFmtId="0" fontId="23" fillId="6" borderId="79" xfId="1" applyFont="1" applyFill="1" applyBorder="1" applyAlignment="1">
      <alignment horizontal="justify" vertical="center" wrapText="1"/>
    </xf>
    <xf numFmtId="0" fontId="10" fillId="6" borderId="79" xfId="1" applyFill="1" applyBorder="1" applyAlignment="1">
      <alignment horizontal="center" vertical="center" wrapText="1"/>
    </xf>
    <xf numFmtId="10" fontId="16" fillId="6" borderId="5" xfId="1" applyNumberFormat="1" applyFont="1" applyFill="1" applyBorder="1" applyAlignment="1">
      <alignment horizontal="center" vertical="center"/>
    </xf>
    <xf numFmtId="2" fontId="16" fillId="6" borderId="87" xfId="1" applyNumberFormat="1" applyFont="1" applyFill="1" applyBorder="1" applyAlignment="1">
      <alignment horizontal="center" vertical="center"/>
    </xf>
    <xf numFmtId="2" fontId="16" fillId="6" borderId="8" xfId="1" applyNumberFormat="1" applyFont="1" applyFill="1" applyBorder="1" applyAlignment="1">
      <alignment horizontal="center" vertical="center"/>
    </xf>
    <xf numFmtId="2" fontId="16" fillId="6" borderId="84" xfId="1" applyNumberFormat="1" applyFont="1" applyFill="1" applyBorder="1" applyAlignment="1">
      <alignment horizontal="center" vertical="center"/>
    </xf>
    <xf numFmtId="2" fontId="16" fillId="0" borderId="87" xfId="1" applyNumberFormat="1" applyFont="1" applyBorder="1" applyAlignment="1">
      <alignment horizontal="center" vertical="center"/>
    </xf>
    <xf numFmtId="2" fontId="16" fillId="0" borderId="8" xfId="1" applyNumberFormat="1" applyFont="1" applyBorder="1" applyAlignment="1">
      <alignment horizontal="center" vertical="center"/>
    </xf>
    <xf numFmtId="2" fontId="16" fillId="0" borderId="84" xfId="1" applyNumberFormat="1" applyFont="1" applyBorder="1" applyAlignment="1">
      <alignment horizontal="center" vertical="center"/>
    </xf>
    <xf numFmtId="10" fontId="70" fillId="55" borderId="2" xfId="1" applyNumberFormat="1" applyFont="1" applyFill="1" applyBorder="1" applyAlignment="1">
      <alignment horizontal="center" vertical="center"/>
    </xf>
    <xf numFmtId="10" fontId="21" fillId="6" borderId="23" xfId="1" applyNumberFormat="1" applyFont="1" applyFill="1" applyBorder="1" applyAlignment="1">
      <alignment horizontal="center" vertical="center" wrapText="1"/>
    </xf>
    <xf numFmtId="10" fontId="21" fillId="6" borderId="24" xfId="1" applyNumberFormat="1" applyFont="1" applyFill="1" applyBorder="1" applyAlignment="1">
      <alignment horizontal="center" vertical="center" wrapText="1"/>
    </xf>
    <xf numFmtId="10" fontId="21" fillId="6" borderId="25" xfId="1" applyNumberFormat="1" applyFont="1" applyFill="1" applyBorder="1" applyAlignment="1">
      <alignment horizontal="center" vertical="center" wrapText="1"/>
    </xf>
    <xf numFmtId="10" fontId="19" fillId="6" borderId="2" xfId="1" applyNumberFormat="1" applyFont="1" applyFill="1" applyBorder="1" applyAlignment="1">
      <alignment horizontal="center" vertical="center"/>
    </xf>
    <xf numFmtId="10" fontId="16" fillId="6" borderId="5" xfId="1" applyNumberFormat="1" applyFont="1" applyFill="1" applyBorder="1" applyAlignment="1">
      <alignment horizontal="center" vertical="center" wrapText="1"/>
    </xf>
    <xf numFmtId="10" fontId="19" fillId="6" borderId="79" xfId="3" applyNumberFormat="1" applyFont="1" applyFill="1" applyBorder="1" applyAlignment="1">
      <alignment horizontal="center" vertical="center" wrapText="1"/>
    </xf>
    <xf numFmtId="10" fontId="21" fillId="19" borderId="79" xfId="1" applyNumberFormat="1" applyFont="1" applyFill="1" applyBorder="1" applyAlignment="1">
      <alignment horizontal="center" vertical="center"/>
    </xf>
    <xf numFmtId="0" fontId="12" fillId="2" borderId="1"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0" fillId="2" borderId="1" xfId="1" applyFill="1" applyBorder="1" applyAlignment="1">
      <alignment horizontal="center" vertical="center" wrapText="1"/>
    </xf>
    <xf numFmtId="0" fontId="10" fillId="2" borderId="3" xfId="1" applyFill="1" applyBorder="1" applyAlignment="1">
      <alignment horizontal="center" vertical="center" wrapText="1"/>
    </xf>
    <xf numFmtId="0" fontId="10" fillId="2" borderId="5" xfId="1" applyFill="1" applyBorder="1" applyAlignment="1">
      <alignment horizontal="center" vertical="center" wrapText="1"/>
    </xf>
    <xf numFmtId="0" fontId="10" fillId="2" borderId="1" xfId="1" applyFill="1" applyBorder="1" applyAlignment="1">
      <alignment horizontal="center" vertical="center"/>
    </xf>
    <xf numFmtId="0" fontId="10" fillId="2" borderId="3" xfId="1" applyFill="1" applyBorder="1" applyAlignment="1">
      <alignment horizontal="center" vertical="center"/>
    </xf>
    <xf numFmtId="0" fontId="10" fillId="2" borderId="5" xfId="1" applyFill="1" applyBorder="1" applyAlignment="1">
      <alignment horizontal="center" vertical="center"/>
    </xf>
    <xf numFmtId="0" fontId="0" fillId="39" borderId="2" xfId="1" applyFont="1" applyFill="1" applyBorder="1" applyAlignment="1">
      <alignment horizontal="center" vertical="center" wrapText="1"/>
    </xf>
    <xf numFmtId="0" fontId="72" fillId="39" borderId="2" xfId="1" applyFont="1" applyFill="1" applyBorder="1" applyAlignment="1">
      <alignment horizontal="center" vertical="center" wrapText="1"/>
    </xf>
    <xf numFmtId="10" fontId="37" fillId="13" borderId="2" xfId="1" applyNumberFormat="1" applyFont="1" applyFill="1" applyBorder="1" applyAlignment="1">
      <alignment horizontal="center" vertical="center" wrapText="1"/>
    </xf>
    <xf numFmtId="10" fontId="21" fillId="6" borderId="11" xfId="1" applyNumberFormat="1" applyFont="1" applyFill="1" applyBorder="1" applyAlignment="1">
      <alignment horizontal="center" vertical="center" wrapText="1"/>
    </xf>
    <xf numFmtId="10" fontId="21" fillId="6" borderId="12" xfId="1" applyNumberFormat="1" applyFont="1" applyFill="1" applyBorder="1" applyAlignment="1">
      <alignment horizontal="center" vertical="center" wrapText="1"/>
    </xf>
    <xf numFmtId="10" fontId="21" fillId="6" borderId="13" xfId="1" applyNumberFormat="1" applyFont="1" applyFill="1" applyBorder="1" applyAlignment="1">
      <alignment horizontal="center" vertical="center" wrapText="1"/>
    </xf>
    <xf numFmtId="10" fontId="21" fillId="0" borderId="7" xfId="1" applyNumberFormat="1" applyFont="1" applyBorder="1" applyAlignment="1">
      <alignment horizontal="center" vertical="center" wrapText="1"/>
    </xf>
    <xf numFmtId="10" fontId="21" fillId="0" borderId="8" xfId="1" applyNumberFormat="1" applyFont="1" applyBorder="1" applyAlignment="1">
      <alignment horizontal="center" vertical="center" wrapText="1"/>
    </xf>
    <xf numFmtId="10" fontId="21" fillId="0" borderId="9" xfId="1" applyNumberFormat="1" applyFont="1" applyBorder="1" applyAlignment="1">
      <alignment horizontal="center" vertical="center" wrapText="1"/>
    </xf>
    <xf numFmtId="173" fontId="23" fillId="6" borderId="2" xfId="1" applyNumberFormat="1" applyFont="1" applyFill="1" applyBorder="1" applyAlignment="1">
      <alignment vertical="center" wrapText="1"/>
    </xf>
    <xf numFmtId="0" fontId="47" fillId="40" borderId="85" xfId="1" applyFont="1" applyFill="1" applyBorder="1" applyAlignment="1">
      <alignment horizontal="justify" vertical="center"/>
    </xf>
    <xf numFmtId="0" fontId="47" fillId="40" borderId="31" xfId="1" applyFont="1" applyFill="1" applyBorder="1" applyAlignment="1">
      <alignment horizontal="justify" vertical="center"/>
    </xf>
    <xf numFmtId="9" fontId="16" fillId="7" borderId="80" xfId="1" applyNumberFormat="1" applyFont="1" applyFill="1" applyBorder="1" applyAlignment="1">
      <alignment horizontal="center" vertical="center" wrapText="1"/>
    </xf>
    <xf numFmtId="9" fontId="16" fillId="7" borderId="32" xfId="1" applyNumberFormat="1" applyFont="1" applyFill="1" applyBorder="1" applyAlignment="1">
      <alignment horizontal="center" vertical="center" wrapText="1"/>
    </xf>
    <xf numFmtId="10" fontId="58" fillId="6" borderId="79" xfId="1" applyNumberFormat="1" applyFont="1" applyFill="1" applyBorder="1" applyAlignment="1">
      <alignment horizontal="center" vertical="center" wrapText="1"/>
    </xf>
    <xf numFmtId="10" fontId="58" fillId="6" borderId="79" xfId="1" applyNumberFormat="1" applyFont="1" applyFill="1" applyBorder="1"/>
    <xf numFmtId="10" fontId="107" fillId="6" borderId="79" xfId="1" applyNumberFormat="1" applyFont="1" applyFill="1" applyBorder="1" applyAlignment="1">
      <alignment horizontal="center" vertical="center" wrapText="1"/>
    </xf>
    <xf numFmtId="10" fontId="107" fillId="6" borderId="79" xfId="1" applyNumberFormat="1" applyFont="1" applyFill="1" applyBorder="1"/>
    <xf numFmtId="171" fontId="19" fillId="6" borderId="87" xfId="31" applyNumberFormat="1" applyFont="1" applyFill="1" applyBorder="1" applyAlignment="1">
      <alignment horizontal="justify" vertical="center" wrapText="1"/>
    </xf>
    <xf numFmtId="171" fontId="19" fillId="6" borderId="8" xfId="31" applyNumberFormat="1" applyFont="1" applyFill="1" applyBorder="1" applyAlignment="1">
      <alignment horizontal="justify" vertical="center" wrapText="1"/>
    </xf>
    <xf numFmtId="171" fontId="19" fillId="6" borderId="84" xfId="31" applyNumberFormat="1" applyFont="1" applyFill="1" applyBorder="1" applyAlignment="1">
      <alignment horizontal="justify" vertical="center" wrapText="1"/>
    </xf>
    <xf numFmtId="0" fontId="22" fillId="31" borderId="3" xfId="1" applyFont="1" applyFill="1" applyBorder="1" applyAlignment="1">
      <alignment horizontal="justify" vertical="center"/>
    </xf>
    <xf numFmtId="9" fontId="23" fillId="7" borderId="83" xfId="1" applyNumberFormat="1" applyFont="1" applyFill="1" applyBorder="1" applyAlignment="1">
      <alignment horizontal="center" vertical="center" wrapText="1"/>
    </xf>
    <xf numFmtId="9" fontId="23" fillId="7" borderId="3" xfId="1" applyNumberFormat="1" applyFont="1" applyFill="1" applyBorder="1" applyAlignment="1">
      <alignment horizontal="center" vertical="center" wrapText="1"/>
    </xf>
    <xf numFmtId="9" fontId="23" fillId="7" borderId="80" xfId="1" applyNumberFormat="1" applyFont="1" applyFill="1" applyBorder="1" applyAlignment="1">
      <alignment horizontal="center" vertical="center" wrapText="1"/>
    </xf>
    <xf numFmtId="0" fontId="19" fillId="3" borderId="79" xfId="1" applyFont="1" applyFill="1" applyBorder="1" applyAlignment="1">
      <alignment horizontal="center" vertical="center" wrapText="1"/>
    </xf>
    <xf numFmtId="0" fontId="47" fillId="24" borderId="86" xfId="1" applyFont="1" applyFill="1" applyBorder="1" applyAlignment="1">
      <alignment horizontal="center" vertical="center"/>
    </xf>
    <xf numFmtId="0" fontId="47" fillId="24" borderId="45" xfId="1" applyFont="1" applyFill="1" applyBorder="1" applyAlignment="1">
      <alignment horizontal="center" vertical="center"/>
    </xf>
    <xf numFmtId="0" fontId="47" fillId="24" borderId="81" xfId="1" applyFont="1" applyFill="1" applyBorder="1" applyAlignment="1">
      <alignment horizontal="center" vertical="center"/>
    </xf>
    <xf numFmtId="10" fontId="16" fillId="6" borderId="80" xfId="1" applyNumberFormat="1" applyFont="1" applyFill="1" applyBorder="1" applyAlignment="1">
      <alignment horizontal="center" vertical="center" wrapText="1"/>
    </xf>
    <xf numFmtId="0" fontId="10" fillId="0" borderId="90" xfId="1" applyBorder="1" applyAlignment="1">
      <alignment horizontal="center" vertical="center" wrapText="1"/>
    </xf>
    <xf numFmtId="0" fontId="10" fillId="0" borderId="35" xfId="1" applyBorder="1" applyAlignment="1">
      <alignment horizontal="center" vertical="center" wrapText="1"/>
    </xf>
    <xf numFmtId="0" fontId="71" fillId="3" borderId="79" xfId="1" applyFont="1" applyFill="1" applyBorder="1" applyAlignment="1">
      <alignment horizontal="justify" vertical="center" wrapText="1"/>
    </xf>
    <xf numFmtId="0" fontId="16" fillId="3" borderId="83" xfId="1" applyFont="1" applyFill="1" applyBorder="1" applyAlignment="1">
      <alignment horizontal="justify" vertical="center" wrapText="1"/>
    </xf>
    <xf numFmtId="0" fontId="10" fillId="6" borderId="79" xfId="1" applyFill="1" applyBorder="1" applyAlignment="1">
      <alignment horizontal="justify" vertical="center" wrapText="1"/>
    </xf>
    <xf numFmtId="0" fontId="10" fillId="6" borderId="83" xfId="1" applyFill="1" applyBorder="1" applyAlignment="1">
      <alignment horizontal="justify" vertical="center" wrapText="1"/>
    </xf>
    <xf numFmtId="41" fontId="16" fillId="6" borderId="87" xfId="31" applyFont="1" applyFill="1" applyBorder="1" applyAlignment="1">
      <alignment horizontal="center" vertical="center" wrapText="1"/>
    </xf>
    <xf numFmtId="41" fontId="16" fillId="6" borderId="8" xfId="31" applyFont="1" applyFill="1" applyBorder="1" applyAlignment="1">
      <alignment horizontal="center" vertical="center" wrapText="1"/>
    </xf>
    <xf numFmtId="41" fontId="16" fillId="6" borderId="84" xfId="31" applyFont="1" applyFill="1" applyBorder="1" applyAlignment="1">
      <alignment horizontal="center" vertical="center" wrapText="1"/>
    </xf>
    <xf numFmtId="10" fontId="125" fillId="6" borderId="4" xfId="1" applyNumberFormat="1" applyFont="1" applyFill="1" applyBorder="1" applyAlignment="1">
      <alignment horizontal="center" vertical="center" wrapText="1"/>
    </xf>
    <xf numFmtId="10" fontId="125" fillId="6" borderId="0" xfId="1" applyNumberFormat="1" applyFont="1" applyFill="1" applyAlignment="1">
      <alignment horizontal="center" vertical="center" wrapText="1"/>
    </xf>
    <xf numFmtId="10" fontId="125" fillId="6" borderId="45" xfId="1" applyNumberFormat="1" applyFont="1" applyFill="1" applyBorder="1" applyAlignment="1">
      <alignment horizontal="center" vertical="center" wrapText="1"/>
    </xf>
    <xf numFmtId="10" fontId="125" fillId="6" borderId="75" xfId="1" applyNumberFormat="1" applyFont="1" applyFill="1" applyBorder="1" applyAlignment="1">
      <alignment horizontal="center" vertical="center" wrapText="1"/>
    </xf>
    <xf numFmtId="10" fontId="125" fillId="6" borderId="49" xfId="1" applyNumberFormat="1" applyFont="1" applyFill="1" applyBorder="1" applyAlignment="1">
      <alignment horizontal="center" vertical="center" wrapText="1"/>
    </xf>
    <xf numFmtId="10" fontId="125" fillId="6" borderId="74" xfId="1" applyNumberFormat="1" applyFont="1" applyFill="1" applyBorder="1" applyAlignment="1">
      <alignment horizontal="center" vertical="center" wrapText="1"/>
    </xf>
    <xf numFmtId="0" fontId="16" fillId="3" borderId="80" xfId="1" applyFont="1" applyFill="1" applyBorder="1" applyAlignment="1">
      <alignment horizontal="center" vertical="center" wrapText="1"/>
    </xf>
    <xf numFmtId="0" fontId="16" fillId="3" borderId="32" xfId="1" applyFont="1" applyFill="1" applyBorder="1" applyAlignment="1">
      <alignment horizontal="center" vertical="center" wrapText="1"/>
    </xf>
    <xf numFmtId="10" fontId="63" fillId="6" borderId="79" xfId="1" applyNumberFormat="1" applyFont="1" applyFill="1" applyBorder="1" applyAlignment="1">
      <alignment horizontal="center" vertical="center" wrapText="1"/>
    </xf>
    <xf numFmtId="165" fontId="19" fillId="6" borderId="79" xfId="19" applyNumberFormat="1" applyFont="1" applyFill="1" applyBorder="1" applyAlignment="1">
      <alignment horizontal="center" vertical="center" wrapText="1"/>
    </xf>
    <xf numFmtId="9" fontId="19" fillId="6" borderId="79" xfId="19" applyFont="1" applyFill="1" applyBorder="1" applyAlignment="1">
      <alignment horizontal="center" vertical="center" wrapText="1"/>
    </xf>
    <xf numFmtId="10" fontId="19" fillId="6" borderId="79" xfId="19" applyNumberFormat="1" applyFont="1" applyFill="1" applyBorder="1" applyAlignment="1">
      <alignment horizontal="center" vertical="center" wrapText="1"/>
    </xf>
    <xf numFmtId="10" fontId="63" fillId="6" borderId="7" xfId="1" applyNumberFormat="1" applyFont="1" applyFill="1" applyBorder="1" applyAlignment="1">
      <alignment horizontal="center" vertical="center" wrapText="1"/>
    </xf>
    <xf numFmtId="10" fontId="63" fillId="6" borderId="8" xfId="1" applyNumberFormat="1" applyFont="1" applyFill="1" applyBorder="1" applyAlignment="1">
      <alignment horizontal="center" vertical="center" wrapText="1"/>
    </xf>
    <xf numFmtId="10" fontId="63" fillId="6" borderId="9" xfId="1" applyNumberFormat="1" applyFont="1" applyFill="1" applyBorder="1" applyAlignment="1">
      <alignment horizontal="center" vertical="center" wrapText="1"/>
    </xf>
    <xf numFmtId="171" fontId="19" fillId="6" borderId="2" xfId="31" applyNumberFormat="1" applyFont="1" applyFill="1" applyBorder="1" applyAlignment="1">
      <alignment horizontal="center" vertical="center" wrapText="1"/>
    </xf>
    <xf numFmtId="10" fontId="20" fillId="6" borderId="87" xfId="1" applyNumberFormat="1" applyFont="1" applyFill="1" applyBorder="1" applyAlignment="1">
      <alignment horizontal="center" vertical="center" wrapText="1"/>
    </xf>
    <xf numFmtId="10" fontId="20" fillId="6" borderId="8" xfId="1" applyNumberFormat="1" applyFont="1" applyFill="1" applyBorder="1" applyAlignment="1">
      <alignment horizontal="center" vertical="center" wrapText="1"/>
    </xf>
    <xf numFmtId="10" fontId="20" fillId="6" borderId="84" xfId="1" applyNumberFormat="1" applyFont="1" applyFill="1" applyBorder="1" applyAlignment="1">
      <alignment horizontal="center" vertical="center" wrapText="1"/>
    </xf>
    <xf numFmtId="0" fontId="22" fillId="34" borderId="83" xfId="1" applyFont="1" applyFill="1" applyBorder="1" applyAlignment="1">
      <alignment horizontal="center" vertical="center"/>
    </xf>
    <xf numFmtId="0" fontId="22" fillId="34" borderId="3" xfId="1" applyFont="1" applyFill="1" applyBorder="1" applyAlignment="1">
      <alignment horizontal="center" vertical="center"/>
    </xf>
    <xf numFmtId="0" fontId="16" fillId="3" borderId="79" xfId="1" applyFont="1" applyFill="1" applyBorder="1" applyAlignment="1">
      <alignment horizontal="center" vertical="center" wrapText="1"/>
    </xf>
    <xf numFmtId="0" fontId="19" fillId="3" borderId="83"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80" xfId="1" applyFont="1" applyFill="1" applyBorder="1" applyAlignment="1">
      <alignment horizontal="center" vertical="center" wrapText="1"/>
    </xf>
    <xf numFmtId="9" fontId="10" fillId="7" borderId="83" xfId="1" applyNumberFormat="1" applyFill="1" applyBorder="1" applyAlignment="1">
      <alignment horizontal="center" vertical="center" wrapText="1"/>
    </xf>
    <xf numFmtId="9" fontId="10" fillId="7" borderId="3" xfId="1" applyNumberFormat="1" applyFill="1" applyBorder="1" applyAlignment="1">
      <alignment horizontal="center" vertical="center" wrapText="1"/>
    </xf>
    <xf numFmtId="9" fontId="10" fillId="7" borderId="80" xfId="1" applyNumberFormat="1" applyFill="1" applyBorder="1" applyAlignment="1">
      <alignment horizontal="center" vertical="center" wrapText="1"/>
    </xf>
    <xf numFmtId="10" fontId="16" fillId="0" borderId="23" xfId="1" applyNumberFormat="1" applyFont="1" applyBorder="1" applyAlignment="1">
      <alignment horizontal="center" vertical="center" wrapText="1"/>
    </xf>
    <xf numFmtId="10" fontId="16" fillId="0" borderId="24" xfId="1" applyNumberFormat="1" applyFont="1" applyBorder="1" applyAlignment="1">
      <alignment horizontal="center" vertical="center" wrapText="1"/>
    </xf>
    <xf numFmtId="10" fontId="16" fillId="0" borderId="25" xfId="1" applyNumberFormat="1" applyFont="1" applyBorder="1" applyAlignment="1">
      <alignment horizontal="center" vertical="center" wrapText="1"/>
    </xf>
    <xf numFmtId="10" fontId="16" fillId="6" borderId="11" xfId="1" applyNumberFormat="1" applyFont="1" applyFill="1" applyBorder="1" applyAlignment="1">
      <alignment horizontal="center" vertical="center" wrapText="1"/>
    </xf>
    <xf numFmtId="10" fontId="16" fillId="6" borderId="88" xfId="1" applyNumberFormat="1" applyFont="1" applyFill="1" applyBorder="1" applyAlignment="1">
      <alignment horizontal="center" vertical="center" wrapText="1"/>
    </xf>
    <xf numFmtId="10" fontId="16" fillId="6" borderId="86" xfId="1" applyNumberFormat="1" applyFont="1" applyFill="1" applyBorder="1" applyAlignment="1">
      <alignment horizontal="center" vertical="center" wrapText="1"/>
    </xf>
    <xf numFmtId="10" fontId="16" fillId="0" borderId="11" xfId="1" applyNumberFormat="1" applyFont="1" applyBorder="1" applyAlignment="1">
      <alignment horizontal="center" vertical="center" wrapText="1"/>
    </xf>
    <xf numFmtId="10" fontId="16" fillId="0" borderId="88" xfId="1" applyNumberFormat="1" applyFont="1" applyBorder="1" applyAlignment="1">
      <alignment horizontal="center" vertical="center" wrapText="1"/>
    </xf>
    <xf numFmtId="10" fontId="16" fillId="0" borderId="86" xfId="1" applyNumberFormat="1" applyFont="1" applyBorder="1" applyAlignment="1">
      <alignment horizontal="center" vertical="center" wrapText="1"/>
    </xf>
    <xf numFmtId="0" fontId="18" fillId="34" borderId="16" xfId="1" applyFont="1" applyFill="1" applyBorder="1" applyAlignment="1">
      <alignment horizontal="center" vertical="center" wrapText="1"/>
    </xf>
    <xf numFmtId="10" fontId="21" fillId="0" borderId="23" xfId="1" applyNumberFormat="1" applyFont="1" applyBorder="1" applyAlignment="1">
      <alignment horizontal="center" vertical="center" wrapText="1"/>
    </xf>
    <xf numFmtId="10" fontId="21" fillId="0" borderId="24" xfId="1" applyNumberFormat="1" applyFont="1" applyBorder="1" applyAlignment="1">
      <alignment horizontal="center" vertical="center" wrapText="1"/>
    </xf>
    <xf numFmtId="10" fontId="21" fillId="0" borderId="25" xfId="1" applyNumberFormat="1" applyFont="1" applyBorder="1" applyAlignment="1">
      <alignment horizontal="center" vertical="center" wrapText="1"/>
    </xf>
    <xf numFmtId="10" fontId="90" fillId="6" borderId="7" xfId="1" applyNumberFormat="1" applyFont="1" applyFill="1" applyBorder="1" applyAlignment="1">
      <alignment horizontal="center" vertical="center" wrapText="1"/>
    </xf>
    <xf numFmtId="10" fontId="90" fillId="6" borderId="8" xfId="1" applyNumberFormat="1" applyFont="1" applyFill="1" applyBorder="1" applyAlignment="1">
      <alignment horizontal="center" vertical="center" wrapText="1"/>
    </xf>
    <xf numFmtId="10" fontId="91" fillId="6" borderId="2" xfId="1" applyNumberFormat="1" applyFont="1" applyFill="1" applyBorder="1" applyAlignment="1">
      <alignment horizontal="center" vertical="center" wrapText="1"/>
    </xf>
    <xf numFmtId="10" fontId="19" fillId="6" borderId="7" xfId="1" applyNumberFormat="1" applyFont="1" applyFill="1" applyBorder="1" applyAlignment="1">
      <alignment horizontal="center" vertical="center" wrapText="1"/>
    </xf>
    <xf numFmtId="10" fontId="23" fillId="6" borderId="2" xfId="1" applyNumberFormat="1" applyFont="1" applyFill="1" applyBorder="1" applyAlignment="1">
      <alignment horizontal="center" vertical="center" wrapText="1"/>
    </xf>
    <xf numFmtId="10" fontId="16" fillId="6" borderId="7" xfId="1" applyNumberFormat="1" applyFont="1" applyFill="1" applyBorder="1" applyAlignment="1">
      <alignment horizontal="center" vertical="center"/>
    </xf>
    <xf numFmtId="10" fontId="16" fillId="6" borderId="8" xfId="1" applyNumberFormat="1" applyFont="1" applyFill="1" applyBorder="1" applyAlignment="1">
      <alignment horizontal="center" vertical="center"/>
    </xf>
    <xf numFmtId="10" fontId="16" fillId="6" borderId="9" xfId="1" applyNumberFormat="1" applyFont="1" applyFill="1" applyBorder="1" applyAlignment="1">
      <alignment horizontal="center" vertical="center"/>
    </xf>
    <xf numFmtId="166" fontId="10" fillId="0" borderId="83" xfId="18" applyNumberFormat="1" applyFont="1" applyBorder="1" applyAlignment="1">
      <alignment horizontal="center" vertical="center" wrapText="1"/>
    </xf>
    <xf numFmtId="166" fontId="10" fillId="0" borderId="3" xfId="18" applyNumberFormat="1" applyFont="1" applyBorder="1" applyAlignment="1">
      <alignment horizontal="center" vertical="center" wrapText="1"/>
    </xf>
    <xf numFmtId="166" fontId="10" fillId="0" borderId="80" xfId="18" applyNumberFormat="1" applyFont="1" applyBorder="1" applyAlignment="1">
      <alignment horizontal="center" vertical="center" wrapText="1"/>
    </xf>
    <xf numFmtId="0" fontId="140" fillId="16" borderId="18" xfId="1" applyFont="1" applyFill="1" applyBorder="1" applyAlignment="1">
      <alignment horizontal="center" vertical="center" wrapText="1"/>
    </xf>
    <xf numFmtId="0" fontId="140" fillId="16" borderId="6" xfId="1" applyFont="1" applyFill="1" applyBorder="1" applyAlignment="1">
      <alignment horizontal="center" vertical="center" wrapText="1"/>
    </xf>
    <xf numFmtId="0" fontId="140" fillId="16" borderId="31" xfId="1" applyFont="1" applyFill="1" applyBorder="1" applyAlignment="1">
      <alignment horizontal="center" vertical="center" wrapText="1"/>
    </xf>
    <xf numFmtId="10" fontId="16" fillId="6" borderId="3" xfId="1" applyNumberFormat="1" applyFont="1" applyFill="1" applyBorder="1" applyAlignment="1">
      <alignment horizontal="center" vertical="center" wrapText="1"/>
    </xf>
    <xf numFmtId="9" fontId="0" fillId="39" borderId="2" xfId="1" applyNumberFormat="1" applyFont="1" applyFill="1" applyBorder="1" applyAlignment="1">
      <alignment horizontal="center" vertical="center" wrapText="1"/>
    </xf>
    <xf numFmtId="9" fontId="72" fillId="39" borderId="2" xfId="1" applyNumberFormat="1" applyFont="1" applyFill="1" applyBorder="1" applyAlignment="1">
      <alignment horizontal="center" vertical="center" wrapText="1"/>
    </xf>
    <xf numFmtId="0" fontId="30" fillId="24" borderId="14" xfId="1" applyFont="1" applyFill="1" applyBorder="1" applyAlignment="1">
      <alignment horizontal="center" vertical="center" wrapText="1"/>
    </xf>
    <xf numFmtId="0" fontId="30" fillId="24" borderId="16" xfId="1" applyFont="1" applyFill="1" applyBorder="1" applyAlignment="1">
      <alignment horizontal="center" vertical="center" wrapText="1"/>
    </xf>
    <xf numFmtId="0" fontId="13" fillId="6" borderId="87" xfId="1" applyFont="1" applyFill="1" applyBorder="1" applyAlignment="1">
      <alignment horizontal="center" vertical="center" wrapText="1"/>
    </xf>
    <xf numFmtId="0" fontId="13" fillId="6" borderId="8" xfId="1" applyFont="1" applyFill="1" applyBorder="1" applyAlignment="1">
      <alignment horizontal="center" vertical="center" wrapText="1"/>
    </xf>
    <xf numFmtId="0" fontId="13" fillId="6" borderId="84" xfId="1" applyFont="1" applyFill="1" applyBorder="1" applyAlignment="1">
      <alignment horizontal="center" vertical="center" wrapText="1"/>
    </xf>
    <xf numFmtId="0" fontId="17" fillId="43" borderId="82" xfId="1" applyFont="1" applyFill="1" applyBorder="1" applyAlignment="1">
      <alignment horizontal="center" vertical="center" wrapText="1"/>
    </xf>
    <xf numFmtId="0" fontId="17" fillId="43" borderId="16" xfId="1" applyFont="1" applyFill="1" applyBorder="1" applyAlignment="1">
      <alignment horizontal="center" vertical="center" wrapText="1"/>
    </xf>
    <xf numFmtId="0" fontId="17" fillId="43" borderId="34" xfId="1" applyFont="1" applyFill="1" applyBorder="1" applyAlignment="1">
      <alignment horizontal="center" vertical="center" wrapText="1"/>
    </xf>
    <xf numFmtId="0" fontId="17" fillId="2" borderId="14" xfId="1" applyFont="1" applyFill="1" applyBorder="1" applyAlignment="1">
      <alignment horizontal="center" vertical="center"/>
    </xf>
    <xf numFmtId="0" fontId="17" fillId="2" borderId="16" xfId="1" applyFont="1" applyFill="1" applyBorder="1" applyAlignment="1">
      <alignment horizontal="center" vertical="center"/>
    </xf>
    <xf numFmtId="0" fontId="17" fillId="2" borderId="34" xfId="1" applyFont="1" applyFill="1" applyBorder="1" applyAlignment="1">
      <alignment horizontal="center" vertical="center"/>
    </xf>
    <xf numFmtId="0" fontId="17" fillId="35" borderId="105" xfId="1" applyFont="1" applyFill="1" applyBorder="1" applyAlignment="1">
      <alignment horizontal="justify" vertical="center"/>
    </xf>
    <xf numFmtId="0" fontId="17" fillId="35" borderId="3" xfId="1" applyFont="1" applyFill="1" applyBorder="1" applyAlignment="1">
      <alignment horizontal="justify" vertical="center"/>
    </xf>
    <xf numFmtId="0" fontId="17" fillId="35" borderId="4" xfId="1" applyFont="1" applyFill="1" applyBorder="1" applyAlignment="1">
      <alignment horizontal="justify" vertical="center"/>
    </xf>
    <xf numFmtId="0" fontId="17" fillId="35" borderId="75" xfId="1" applyFont="1" applyFill="1" applyBorder="1" applyAlignment="1">
      <alignment horizontal="justify" vertical="center"/>
    </xf>
    <xf numFmtId="0" fontId="13" fillId="2" borderId="19" xfId="1" applyFont="1" applyFill="1" applyBorder="1" applyAlignment="1">
      <alignment horizontal="center" vertical="center" wrapText="1"/>
    </xf>
    <xf numFmtId="0" fontId="12" fillId="2" borderId="105"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0" fillId="2" borderId="105" xfId="1" applyFill="1" applyBorder="1" applyAlignment="1">
      <alignment horizontal="center" vertical="center" wrapText="1"/>
    </xf>
    <xf numFmtId="0" fontId="10" fillId="2" borderId="33" xfId="1" applyFill="1" applyBorder="1" applyAlignment="1">
      <alignment horizontal="center" vertical="center" wrapText="1"/>
    </xf>
    <xf numFmtId="0" fontId="13" fillId="2" borderId="79" xfId="1" applyFont="1" applyFill="1" applyBorder="1" applyAlignment="1">
      <alignment horizontal="center" vertical="center" wrapText="1"/>
    </xf>
    <xf numFmtId="0" fontId="10" fillId="2" borderId="105" xfId="1" applyFill="1" applyBorder="1" applyAlignment="1">
      <alignment horizontal="center" vertical="center"/>
    </xf>
    <xf numFmtId="0" fontId="10" fillId="2" borderId="33" xfId="1" applyFill="1" applyBorder="1" applyAlignment="1">
      <alignment horizontal="center" vertical="center"/>
    </xf>
    <xf numFmtId="0" fontId="12" fillId="2" borderId="40" xfId="1" applyFont="1" applyFill="1" applyBorder="1" applyAlignment="1">
      <alignment horizontal="center" vertical="center" wrapText="1"/>
    </xf>
    <xf numFmtId="0" fontId="12" fillId="2" borderId="96"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24" fillId="2" borderId="83" xfId="1" applyFont="1" applyFill="1" applyBorder="1" applyAlignment="1">
      <alignment horizontal="center" vertical="center" wrapText="1"/>
    </xf>
    <xf numFmtId="0" fontId="24" fillId="2" borderId="3" xfId="1" applyFont="1" applyFill="1" applyBorder="1" applyAlignment="1">
      <alignment horizontal="center" vertical="center" wrapText="1"/>
    </xf>
    <xf numFmtId="0" fontId="24" fillId="2" borderId="33" xfId="1" applyFont="1" applyFill="1" applyBorder="1" applyAlignment="1">
      <alignment horizontal="center" vertical="center" wrapText="1"/>
    </xf>
    <xf numFmtId="0" fontId="17" fillId="42" borderId="18" xfId="1" applyFont="1" applyFill="1" applyBorder="1" applyAlignment="1">
      <alignment horizontal="center" vertical="center" wrapText="1"/>
    </xf>
    <xf numFmtId="0" fontId="17" fillId="42" borderId="6" xfId="1" applyFont="1" applyFill="1" applyBorder="1" applyAlignment="1">
      <alignment horizontal="center" vertical="center" wrapText="1"/>
    </xf>
    <xf numFmtId="0" fontId="17" fillId="42" borderId="31" xfId="1" applyFont="1" applyFill="1" applyBorder="1" applyAlignment="1">
      <alignment horizontal="center" vertical="center" wrapText="1"/>
    </xf>
    <xf numFmtId="10" fontId="19" fillId="6" borderId="32" xfId="1" applyNumberFormat="1" applyFont="1" applyFill="1" applyBorder="1" applyAlignment="1">
      <alignment horizontal="center" vertical="center" wrapText="1"/>
    </xf>
    <xf numFmtId="0" fontId="17" fillId="9" borderId="14" xfId="1" applyFont="1" applyFill="1" applyBorder="1" applyAlignment="1">
      <alignment horizontal="center" vertical="center" wrapText="1"/>
    </xf>
    <xf numFmtId="0" fontId="17" fillId="9" borderId="16" xfId="1" applyFont="1" applyFill="1" applyBorder="1" applyAlignment="1">
      <alignment horizontal="center" vertical="center" wrapText="1"/>
    </xf>
    <xf numFmtId="0" fontId="17" fillId="9" borderId="34" xfId="1" applyFont="1" applyFill="1" applyBorder="1" applyAlignment="1">
      <alignment horizontal="center" vertical="center" wrapText="1"/>
    </xf>
    <xf numFmtId="10" fontId="19" fillId="6" borderId="19" xfId="1" applyNumberFormat="1" applyFont="1" applyFill="1" applyBorder="1" applyAlignment="1">
      <alignment horizontal="center" vertical="center" wrapText="1"/>
    </xf>
    <xf numFmtId="0" fontId="134" fillId="6" borderId="32" xfId="1" applyFont="1" applyFill="1" applyBorder="1" applyAlignment="1">
      <alignment horizontal="center" vertical="center" wrapText="1"/>
    </xf>
    <xf numFmtId="10" fontId="16" fillId="6" borderId="32" xfId="3" applyNumberFormat="1" applyFont="1" applyFill="1" applyBorder="1" applyAlignment="1">
      <alignment horizontal="center" vertical="center"/>
    </xf>
    <xf numFmtId="0" fontId="17" fillId="41" borderId="18" xfId="1" applyFont="1" applyFill="1" applyBorder="1" applyAlignment="1">
      <alignment horizontal="center" vertical="center" wrapText="1"/>
    </xf>
    <xf numFmtId="0" fontId="17" fillId="41" borderId="6" xfId="1" applyFont="1" applyFill="1" applyBorder="1" applyAlignment="1">
      <alignment horizontal="center" vertical="center" wrapText="1"/>
    </xf>
    <xf numFmtId="0" fontId="17" fillId="41" borderId="31" xfId="1" applyFont="1" applyFill="1" applyBorder="1" applyAlignment="1">
      <alignment horizontal="center" vertical="center" wrapText="1"/>
    </xf>
    <xf numFmtId="10" fontId="19" fillId="13" borderId="19" xfId="1" applyNumberFormat="1" applyFont="1" applyFill="1" applyBorder="1" applyAlignment="1">
      <alignment horizontal="center" vertical="center" wrapText="1"/>
    </xf>
    <xf numFmtId="10" fontId="19" fillId="13" borderId="79" xfId="1" applyNumberFormat="1" applyFont="1" applyFill="1" applyBorder="1" applyAlignment="1">
      <alignment horizontal="center" vertical="center" wrapText="1"/>
    </xf>
    <xf numFmtId="0" fontId="17" fillId="12" borderId="18" xfId="1" applyFont="1" applyFill="1" applyBorder="1" applyAlignment="1">
      <alignment horizontal="center" vertical="center" wrapText="1"/>
    </xf>
    <xf numFmtId="0" fontId="17" fillId="12" borderId="6" xfId="1" applyFont="1" applyFill="1" applyBorder="1" applyAlignment="1">
      <alignment horizontal="center" vertical="center" wrapText="1"/>
    </xf>
    <xf numFmtId="0" fontId="17" fillId="12" borderId="31" xfId="1" applyFont="1" applyFill="1" applyBorder="1" applyAlignment="1">
      <alignment horizontal="center" vertical="center" wrapText="1"/>
    </xf>
    <xf numFmtId="0" fontId="10" fillId="6" borderId="79" xfId="1" applyFont="1" applyFill="1" applyBorder="1" applyAlignment="1">
      <alignment horizontal="justify" vertical="center" wrapText="1"/>
    </xf>
    <xf numFmtId="2" fontId="16" fillId="6" borderId="79" xfId="1" applyNumberFormat="1" applyFont="1" applyFill="1" applyBorder="1" applyAlignment="1">
      <alignment horizontal="center" vertical="center"/>
    </xf>
    <xf numFmtId="2" fontId="16" fillId="0" borderId="79" xfId="1" applyNumberFormat="1" applyFont="1" applyBorder="1" applyAlignment="1">
      <alignment horizontal="center" vertical="center"/>
    </xf>
    <xf numFmtId="10" fontId="16" fillId="6" borderId="79" xfId="1" applyNumberFormat="1" applyFont="1" applyFill="1" applyBorder="1" applyAlignment="1">
      <alignment horizontal="center" vertical="center"/>
    </xf>
    <xf numFmtId="0" fontId="12" fillId="0" borderId="79" xfId="1" applyFont="1" applyBorder="1" applyAlignment="1">
      <alignment horizontal="center" vertical="center"/>
    </xf>
    <xf numFmtId="171" fontId="19" fillId="6" borderId="32" xfId="31" applyNumberFormat="1" applyFont="1" applyFill="1" applyBorder="1" applyAlignment="1">
      <alignment horizontal="center" vertical="center" wrapText="1"/>
    </xf>
    <xf numFmtId="10" fontId="16" fillId="6" borderId="19" xfId="1" applyNumberFormat="1" applyFont="1" applyFill="1" applyBorder="1" applyAlignment="1">
      <alignment horizontal="center" vertical="center"/>
    </xf>
    <xf numFmtId="10" fontId="70" fillId="54" borderId="79" xfId="1" applyNumberFormat="1" applyFont="1" applyFill="1" applyBorder="1" applyAlignment="1">
      <alignment horizontal="center" vertical="center"/>
    </xf>
    <xf numFmtId="165" fontId="16" fillId="6" borderId="79" xfId="1" applyNumberFormat="1" applyFont="1" applyFill="1" applyBorder="1" applyAlignment="1">
      <alignment horizontal="center" vertical="center"/>
    </xf>
    <xf numFmtId="165" fontId="70" fillId="54" borderId="32" xfId="1" applyNumberFormat="1" applyFont="1" applyFill="1" applyBorder="1" applyAlignment="1">
      <alignment horizontal="center" vertical="center"/>
    </xf>
    <xf numFmtId="10" fontId="70" fillId="54" borderId="32" xfId="1" applyNumberFormat="1" applyFont="1" applyFill="1" applyBorder="1" applyAlignment="1">
      <alignment horizontal="center" vertical="center"/>
    </xf>
    <xf numFmtId="0" fontId="17" fillId="43" borderId="18" xfId="1" applyFont="1" applyFill="1" applyBorder="1" applyAlignment="1">
      <alignment horizontal="center" vertical="center" wrapText="1"/>
    </xf>
    <xf numFmtId="0" fontId="17" fillId="43" borderId="6" xfId="1" applyFont="1" applyFill="1" applyBorder="1" applyAlignment="1">
      <alignment horizontal="center" vertical="center" wrapText="1"/>
    </xf>
    <xf numFmtId="0" fontId="17" fillId="43" borderId="31" xfId="1" applyFont="1" applyFill="1" applyBorder="1" applyAlignment="1">
      <alignment horizontal="center" vertical="center" wrapText="1"/>
    </xf>
    <xf numFmtId="0" fontId="17" fillId="40" borderId="18" xfId="1" applyFont="1" applyFill="1" applyBorder="1" applyAlignment="1">
      <alignment horizontal="center" vertical="center" wrapText="1"/>
    </xf>
    <xf numFmtId="0" fontId="17" fillId="40" borderId="6" xfId="1" applyFont="1" applyFill="1" applyBorder="1" applyAlignment="1">
      <alignment horizontal="center" vertical="center" wrapText="1"/>
    </xf>
    <xf numFmtId="0" fontId="17" fillId="40" borderId="31" xfId="1" applyFont="1" applyFill="1" applyBorder="1" applyAlignment="1">
      <alignment horizontal="center" vertical="center" wrapText="1"/>
    </xf>
    <xf numFmtId="10" fontId="90" fillId="6" borderId="32" xfId="1" applyNumberFormat="1" applyFont="1" applyFill="1" applyBorder="1" applyAlignment="1">
      <alignment horizontal="center" vertical="center" wrapText="1"/>
    </xf>
    <xf numFmtId="10" fontId="23" fillId="6" borderId="3" xfId="1" applyNumberFormat="1" applyFont="1" applyFill="1" applyBorder="1" applyAlignment="1">
      <alignment horizontal="center" vertical="center" wrapText="1"/>
    </xf>
    <xf numFmtId="0" fontId="17" fillId="24" borderId="18" xfId="1" applyFont="1" applyFill="1" applyBorder="1" applyAlignment="1">
      <alignment horizontal="center" vertical="center" wrapText="1"/>
    </xf>
    <xf numFmtId="0" fontId="17" fillId="24" borderId="6" xfId="1" applyFont="1" applyFill="1" applyBorder="1" applyAlignment="1">
      <alignment horizontal="center" vertical="center" wrapText="1"/>
    </xf>
    <xf numFmtId="0" fontId="17" fillId="24" borderId="31" xfId="1" applyFont="1" applyFill="1" applyBorder="1" applyAlignment="1">
      <alignment horizontal="center" vertical="center" wrapText="1"/>
    </xf>
    <xf numFmtId="10" fontId="23" fillId="6" borderId="79" xfId="1" applyNumberFormat="1" applyFont="1" applyFill="1" applyBorder="1" applyAlignment="1">
      <alignment horizontal="center" vertical="center" wrapText="1"/>
    </xf>
    <xf numFmtId="10" fontId="91" fillId="6" borderId="79" xfId="1" applyNumberFormat="1" applyFont="1" applyFill="1" applyBorder="1" applyAlignment="1">
      <alignment horizontal="center" vertical="center" wrapText="1"/>
    </xf>
    <xf numFmtId="10" fontId="90" fillId="6" borderId="79" xfId="1" applyNumberFormat="1" applyFont="1" applyFill="1" applyBorder="1" applyAlignment="1">
      <alignment horizontal="center" vertical="center"/>
    </xf>
    <xf numFmtId="0" fontId="13" fillId="6" borderId="32" xfId="1" applyFont="1" applyFill="1" applyBorder="1" applyAlignment="1">
      <alignment horizontal="center" vertical="center" wrapText="1"/>
    </xf>
    <xf numFmtId="10" fontId="19" fillId="6" borderId="79" xfId="1" applyNumberFormat="1" applyFont="1" applyFill="1" applyBorder="1" applyAlignment="1">
      <alignment horizontal="center" vertical="center"/>
    </xf>
    <xf numFmtId="0" fontId="19" fillId="14" borderId="80" xfId="1" applyFont="1" applyFill="1" applyBorder="1" applyAlignment="1">
      <alignment horizontal="center" vertical="center" wrapText="1"/>
    </xf>
    <xf numFmtId="0" fontId="19" fillId="14" borderId="79" xfId="1" applyFont="1" applyFill="1" applyBorder="1" applyAlignment="1">
      <alignment horizontal="center" vertical="center" wrapText="1"/>
    </xf>
    <xf numFmtId="0" fontId="19" fillId="14" borderId="83" xfId="1" applyFont="1" applyFill="1" applyBorder="1" applyAlignment="1">
      <alignment horizontal="center" vertical="center" wrapText="1"/>
    </xf>
    <xf numFmtId="10" fontId="21" fillId="6" borderId="80" xfId="1" applyNumberFormat="1" applyFont="1" applyFill="1" applyBorder="1" applyAlignment="1">
      <alignment horizontal="center" vertical="center" wrapText="1"/>
    </xf>
    <xf numFmtId="10" fontId="21" fillId="6" borderId="79" xfId="1" applyNumberFormat="1" applyFont="1" applyFill="1" applyBorder="1" applyAlignment="1">
      <alignment horizontal="center" vertical="center" wrapText="1"/>
    </xf>
    <xf numFmtId="10" fontId="21" fillId="6" borderId="83" xfId="1" applyNumberFormat="1" applyFont="1" applyFill="1" applyBorder="1" applyAlignment="1">
      <alignment horizontal="center" vertical="center" wrapText="1"/>
    </xf>
    <xf numFmtId="10" fontId="20" fillId="6" borderId="79" xfId="1" applyNumberFormat="1" applyFont="1" applyFill="1" applyBorder="1" applyAlignment="1">
      <alignment horizontal="center" vertical="center" wrapText="1"/>
    </xf>
    <xf numFmtId="0" fontId="17" fillId="34" borderId="18" xfId="1" applyFont="1" applyFill="1" applyBorder="1" applyAlignment="1">
      <alignment horizontal="center" vertical="center" wrapText="1"/>
    </xf>
    <xf numFmtId="0" fontId="17" fillId="34" borderId="6" xfId="1" applyFont="1" applyFill="1" applyBorder="1" applyAlignment="1">
      <alignment horizontal="center" vertical="center" wrapText="1"/>
    </xf>
    <xf numFmtId="0" fontId="17" fillId="34" borderId="31" xfId="1" applyFont="1" applyFill="1" applyBorder="1" applyAlignment="1">
      <alignment horizontal="center" vertical="center" wrapText="1"/>
    </xf>
    <xf numFmtId="10" fontId="22" fillId="6" borderId="19" xfId="1" applyNumberFormat="1" applyFont="1" applyFill="1" applyBorder="1" applyAlignment="1">
      <alignment horizontal="center" vertical="center" wrapText="1"/>
    </xf>
    <xf numFmtId="10" fontId="22" fillId="6" borderId="79" xfId="1" applyNumberFormat="1" applyFont="1" applyFill="1" applyBorder="1" applyAlignment="1">
      <alignment horizontal="center" vertical="center" wrapText="1"/>
    </xf>
    <xf numFmtId="10" fontId="37" fillId="13" borderId="79" xfId="1" applyNumberFormat="1" applyFont="1" applyFill="1" applyBorder="1" applyAlignment="1">
      <alignment horizontal="center" vertical="center" wrapText="1"/>
    </xf>
    <xf numFmtId="0" fontId="10" fillId="39" borderId="79" xfId="1" applyFont="1" applyFill="1" applyBorder="1" applyAlignment="1">
      <alignment horizontal="center" vertical="center" wrapText="1"/>
    </xf>
    <xf numFmtId="10" fontId="37" fillId="6" borderId="79" xfId="1" applyNumberFormat="1" applyFont="1" applyFill="1" applyBorder="1" applyAlignment="1">
      <alignment horizontal="center" vertical="center" wrapText="1"/>
    </xf>
    <xf numFmtId="9" fontId="10" fillId="39" borderId="79" xfId="1" applyNumberFormat="1" applyFont="1" applyFill="1" applyBorder="1" applyAlignment="1">
      <alignment horizontal="center" vertical="center" wrapText="1"/>
    </xf>
    <xf numFmtId="10" fontId="20" fillId="13" borderId="79" xfId="1" applyNumberFormat="1" applyFont="1" applyFill="1" applyBorder="1" applyAlignment="1">
      <alignment horizontal="center" vertical="center" wrapText="1"/>
    </xf>
    <xf numFmtId="171" fontId="23" fillId="6" borderId="79" xfId="1" applyNumberFormat="1" applyFont="1" applyFill="1" applyBorder="1" applyAlignment="1">
      <alignment vertical="center" wrapText="1"/>
    </xf>
    <xf numFmtId="10" fontId="23" fillId="6" borderId="79" xfId="1" applyNumberFormat="1" applyFont="1" applyFill="1" applyBorder="1" applyAlignment="1">
      <alignment vertical="center" wrapText="1"/>
    </xf>
    <xf numFmtId="173" fontId="23" fillId="6" borderId="79" xfId="1" applyNumberFormat="1" applyFont="1" applyFill="1" applyBorder="1" applyAlignment="1">
      <alignment vertical="center" wrapText="1"/>
    </xf>
    <xf numFmtId="10" fontId="22" fillId="6" borderId="32" xfId="1" applyNumberFormat="1" applyFont="1" applyFill="1" applyBorder="1" applyAlignment="1">
      <alignment horizontal="center" vertical="center" wrapText="1"/>
    </xf>
    <xf numFmtId="0" fontId="14" fillId="3" borderId="79" xfId="1" applyFont="1" applyFill="1" applyBorder="1" applyAlignment="1">
      <alignment horizontal="justify" vertical="center" wrapText="1"/>
    </xf>
    <xf numFmtId="0" fontId="10" fillId="6" borderId="19" xfId="1" applyFont="1" applyFill="1" applyBorder="1" applyAlignment="1">
      <alignment horizontal="justify" vertical="center" wrapText="1"/>
    </xf>
    <xf numFmtId="0" fontId="16" fillId="3" borderId="79" xfId="1" applyFont="1" applyFill="1" applyBorder="1" applyAlignment="1">
      <alignment horizontal="justify" vertical="center" wrapText="1"/>
    </xf>
    <xf numFmtId="0" fontId="71" fillId="3" borderId="32" xfId="1" applyFont="1" applyFill="1" applyBorder="1" applyAlignment="1">
      <alignment horizontal="justify" vertical="center" wrapText="1"/>
    </xf>
    <xf numFmtId="0" fontId="10" fillId="6" borderId="32" xfId="1" applyFont="1" applyFill="1" applyBorder="1" applyAlignment="1">
      <alignment horizontal="justify" vertical="center" wrapText="1"/>
    </xf>
    <xf numFmtId="0" fontId="19" fillId="7" borderId="80" xfId="1" applyFont="1" applyFill="1" applyBorder="1" applyAlignment="1">
      <alignment horizontal="center" vertical="center" wrapText="1"/>
    </xf>
    <xf numFmtId="0" fontId="19" fillId="7" borderId="79" xfId="1" applyFont="1" applyFill="1" applyBorder="1" applyAlignment="1">
      <alignment horizontal="center" vertical="center" wrapText="1"/>
    </xf>
    <xf numFmtId="0" fontId="19" fillId="7" borderId="83" xfId="1" applyFont="1" applyFill="1" applyBorder="1" applyAlignment="1">
      <alignment horizontal="center" vertical="center" wrapText="1"/>
    </xf>
    <xf numFmtId="10" fontId="16" fillId="0" borderId="80" xfId="1" applyNumberFormat="1" applyFont="1" applyBorder="1" applyAlignment="1">
      <alignment horizontal="center" vertical="center" wrapText="1"/>
    </xf>
    <xf numFmtId="10" fontId="16" fillId="0" borderId="79" xfId="1" applyNumberFormat="1" applyFont="1" applyBorder="1" applyAlignment="1">
      <alignment horizontal="center" vertical="center" wrapText="1"/>
    </xf>
    <xf numFmtId="0" fontId="17" fillId="38" borderId="18" xfId="1" applyFont="1" applyFill="1" applyBorder="1" applyAlignment="1">
      <alignment horizontal="center" vertical="center" wrapText="1"/>
    </xf>
    <xf numFmtId="0" fontId="17" fillId="38" borderId="6" xfId="1" applyFont="1" applyFill="1" applyBorder="1" applyAlignment="1">
      <alignment horizontal="center" vertical="center" wrapText="1"/>
    </xf>
    <xf numFmtId="0" fontId="17" fillId="38" borderId="31" xfId="1" applyFont="1" applyFill="1" applyBorder="1" applyAlignment="1">
      <alignment horizontal="center" vertical="center" wrapText="1"/>
    </xf>
    <xf numFmtId="0" fontId="22" fillId="42" borderId="18" xfId="1" applyFont="1" applyFill="1" applyBorder="1" applyAlignment="1">
      <alignment horizontal="justify" vertical="center"/>
    </xf>
    <xf numFmtId="0" fontId="22" fillId="42" borderId="6" xfId="1" applyFont="1" applyFill="1" applyBorder="1" applyAlignment="1">
      <alignment horizontal="justify" vertical="center"/>
    </xf>
    <xf numFmtId="0" fontId="22" fillId="42" borderId="31" xfId="1" applyFont="1" applyFill="1" applyBorder="1" applyAlignment="1">
      <alignment horizontal="justify" vertical="center"/>
    </xf>
    <xf numFmtId="10" fontId="58" fillId="6" borderId="32" xfId="1" applyNumberFormat="1" applyFont="1" applyFill="1" applyBorder="1" applyAlignment="1">
      <alignment horizontal="center" vertical="center" wrapText="1"/>
    </xf>
    <xf numFmtId="10" fontId="58" fillId="6" borderId="32" xfId="1" applyNumberFormat="1" applyFont="1" applyFill="1" applyBorder="1"/>
    <xf numFmtId="10" fontId="57" fillId="6" borderId="32" xfId="1" applyNumberFormat="1" applyFont="1" applyFill="1" applyBorder="1" applyAlignment="1">
      <alignment horizontal="center" vertical="center" wrapText="1"/>
    </xf>
    <xf numFmtId="10" fontId="57" fillId="6" borderId="32" xfId="1" applyNumberFormat="1" applyFont="1" applyFill="1" applyBorder="1"/>
    <xf numFmtId="10" fontId="16" fillId="0" borderId="83" xfId="1" applyNumberFormat="1" applyFont="1" applyBorder="1" applyAlignment="1">
      <alignment horizontal="center" vertical="center" wrapText="1"/>
    </xf>
    <xf numFmtId="10" fontId="16" fillId="6" borderId="83" xfId="1" applyNumberFormat="1" applyFont="1" applyFill="1" applyBorder="1" applyAlignment="1">
      <alignment horizontal="center" vertical="center" wrapText="1"/>
    </xf>
    <xf numFmtId="0" fontId="17" fillId="39" borderId="18" xfId="1" applyFont="1" applyFill="1" applyBorder="1" applyAlignment="1">
      <alignment horizontal="center" vertical="center" wrapText="1"/>
    </xf>
    <xf numFmtId="0" fontId="17" fillId="39" borderId="6" xfId="1" applyFont="1" applyFill="1" applyBorder="1" applyAlignment="1">
      <alignment horizontal="center" vertical="center" wrapText="1"/>
    </xf>
    <xf numFmtId="0" fontId="17" fillId="39" borderId="31" xfId="1" applyFont="1" applyFill="1" applyBorder="1" applyAlignment="1">
      <alignment horizontal="center" vertical="center" wrapText="1"/>
    </xf>
    <xf numFmtId="10" fontId="16" fillId="6" borderId="32" xfId="1" applyNumberFormat="1" applyFont="1" applyFill="1" applyBorder="1" applyAlignment="1">
      <alignment horizontal="center" vertical="center" wrapText="1"/>
    </xf>
    <xf numFmtId="10" fontId="16" fillId="6" borderId="32" xfId="1" applyNumberFormat="1" applyFont="1" applyFill="1" applyBorder="1"/>
    <xf numFmtId="0" fontId="22" fillId="34" borderId="18" xfId="1" applyFont="1" applyFill="1" applyBorder="1" applyAlignment="1">
      <alignment horizontal="center" vertical="center"/>
    </xf>
    <xf numFmtId="0" fontId="22" fillId="34" borderId="6" xfId="1" applyFont="1" applyFill="1" applyBorder="1" applyAlignment="1">
      <alignment horizontal="center" vertical="center"/>
    </xf>
    <xf numFmtId="0" fontId="22" fillId="34" borderId="31" xfId="1" applyFont="1" applyFill="1" applyBorder="1" applyAlignment="1">
      <alignment horizontal="center" vertical="center"/>
    </xf>
    <xf numFmtId="0" fontId="19" fillId="3" borderId="19" xfId="1" applyFont="1" applyFill="1" applyBorder="1" applyAlignment="1">
      <alignment horizontal="justify" vertical="center" wrapText="1"/>
    </xf>
    <xf numFmtId="0" fontId="19" fillId="3" borderId="79" xfId="1" applyFont="1" applyFill="1" applyBorder="1" applyAlignment="1">
      <alignment horizontal="justify" vertical="center" wrapText="1"/>
    </xf>
    <xf numFmtId="9" fontId="10" fillId="39" borderId="19" xfId="1" applyNumberFormat="1" applyFont="1" applyFill="1" applyBorder="1" applyAlignment="1">
      <alignment horizontal="center" vertical="center" wrapText="1"/>
    </xf>
    <xf numFmtId="10" fontId="57" fillId="6" borderId="19" xfId="1" applyNumberFormat="1" applyFont="1" applyFill="1" applyBorder="1" applyAlignment="1">
      <alignment horizontal="center" vertical="center" wrapText="1"/>
    </xf>
    <xf numFmtId="10" fontId="57" fillId="6" borderId="19" xfId="1" applyNumberFormat="1" applyFont="1" applyFill="1" applyBorder="1"/>
    <xf numFmtId="166" fontId="10" fillId="0" borderId="40" xfId="18" applyNumberFormat="1" applyFont="1" applyBorder="1" applyAlignment="1">
      <alignment horizontal="center" vertical="center" wrapText="1"/>
    </xf>
    <xf numFmtId="166" fontId="10" fillId="0" borderId="96" xfId="18" applyNumberFormat="1" applyFont="1" applyBorder="1" applyAlignment="1">
      <alignment horizontal="center" vertical="center" wrapText="1"/>
    </xf>
    <xf numFmtId="166" fontId="10" fillId="0" borderId="90" xfId="18" applyNumberFormat="1" applyFont="1" applyBorder="1" applyAlignment="1">
      <alignment horizontal="center" vertical="center" wrapText="1"/>
    </xf>
    <xf numFmtId="166" fontId="10" fillId="0" borderId="94" xfId="18" applyNumberFormat="1" applyFont="1" applyBorder="1" applyAlignment="1">
      <alignment horizontal="center" vertical="center" wrapText="1"/>
    </xf>
    <xf numFmtId="166" fontId="10" fillId="0" borderId="70" xfId="18" applyNumberFormat="1" applyFont="1" applyBorder="1" applyAlignment="1">
      <alignment horizontal="center" vertical="center" wrapText="1"/>
    </xf>
    <xf numFmtId="9" fontId="19" fillId="6" borderId="32" xfId="19" applyFont="1" applyFill="1" applyBorder="1" applyAlignment="1">
      <alignment horizontal="center" vertical="center" wrapText="1"/>
    </xf>
    <xf numFmtId="9" fontId="23" fillId="39" borderId="79" xfId="1" applyNumberFormat="1" applyFont="1" applyFill="1" applyBorder="1" applyAlignment="1">
      <alignment horizontal="center" vertical="center" wrapText="1"/>
    </xf>
    <xf numFmtId="171" fontId="19" fillId="6" borderId="79" xfId="31" applyNumberFormat="1" applyFont="1" applyFill="1" applyBorder="1" applyAlignment="1">
      <alignment horizontal="justify" vertical="center" wrapText="1"/>
    </xf>
    <xf numFmtId="10" fontId="19" fillId="6" borderId="32" xfId="19" applyNumberFormat="1" applyFont="1" applyFill="1" applyBorder="1" applyAlignment="1">
      <alignment horizontal="center" vertical="center" wrapText="1"/>
    </xf>
    <xf numFmtId="0" fontId="22" fillId="31" borderId="18" xfId="1" applyFont="1" applyFill="1" applyBorder="1" applyAlignment="1">
      <alignment horizontal="justify" vertical="center"/>
    </xf>
    <xf numFmtId="0" fontId="22" fillId="31" borderId="31" xfId="1" applyFont="1" applyFill="1" applyBorder="1" applyAlignment="1">
      <alignment horizontal="justify" vertical="center"/>
    </xf>
    <xf numFmtId="0" fontId="47" fillId="42" borderId="18" xfId="1" applyFont="1" applyFill="1" applyBorder="1" applyAlignment="1">
      <alignment horizontal="center" vertical="center"/>
    </xf>
    <xf numFmtId="0" fontId="47" fillId="42" borderId="31" xfId="1" applyFont="1" applyFill="1" applyBorder="1" applyAlignment="1">
      <alignment horizontal="center" vertical="center"/>
    </xf>
    <xf numFmtId="10" fontId="63" fillId="6" borderId="19" xfId="1" applyNumberFormat="1" applyFont="1" applyFill="1" applyBorder="1" applyAlignment="1">
      <alignment horizontal="center" vertical="center" wrapText="1"/>
    </xf>
    <xf numFmtId="10" fontId="63" fillId="6" borderId="32" xfId="1" applyNumberFormat="1" applyFont="1" applyFill="1" applyBorder="1" applyAlignment="1">
      <alignment horizontal="center" vertical="center" wrapText="1"/>
    </xf>
    <xf numFmtId="0" fontId="19" fillId="3" borderId="32" xfId="1" applyFont="1" applyFill="1" applyBorder="1" applyAlignment="1">
      <alignment horizontal="justify" vertical="center" wrapText="1"/>
    </xf>
    <xf numFmtId="9" fontId="23" fillId="39" borderId="32" xfId="1" applyNumberFormat="1" applyFont="1" applyFill="1" applyBorder="1" applyAlignment="1">
      <alignment horizontal="center" vertical="center" wrapText="1"/>
    </xf>
    <xf numFmtId="165" fontId="10" fillId="0" borderId="19" xfId="1" applyNumberFormat="1" applyBorder="1" applyAlignment="1">
      <alignment horizontal="center" vertical="center" wrapText="1"/>
    </xf>
    <xf numFmtId="165" fontId="10" fillId="0" borderId="32" xfId="1" applyNumberFormat="1" applyBorder="1" applyAlignment="1">
      <alignment horizontal="center" vertical="center" wrapText="1"/>
    </xf>
    <xf numFmtId="166" fontId="10" fillId="0" borderId="47" xfId="18" applyNumberFormat="1" applyFont="1" applyBorder="1" applyAlignment="1">
      <alignment horizontal="center" vertical="center" wrapText="1"/>
    </xf>
    <xf numFmtId="166" fontId="10" fillId="0" borderId="50" xfId="18" applyNumberFormat="1" applyFont="1" applyBorder="1" applyAlignment="1">
      <alignment horizontal="center" vertical="center" wrapText="1"/>
    </xf>
    <xf numFmtId="0" fontId="47" fillId="28" borderId="18" xfId="1" applyFont="1" applyFill="1" applyBorder="1" applyAlignment="1">
      <alignment horizontal="justify" vertical="center"/>
    </xf>
    <xf numFmtId="0" fontId="47" fillId="28" borderId="31" xfId="1" applyFont="1" applyFill="1" applyBorder="1" applyAlignment="1">
      <alignment horizontal="justify" vertical="center"/>
    </xf>
    <xf numFmtId="0" fontId="16" fillId="3" borderId="19" xfId="1" applyFont="1" applyFill="1" applyBorder="1" applyAlignment="1">
      <alignment horizontal="justify" vertical="center" wrapText="1"/>
    </xf>
    <xf numFmtId="0" fontId="16" fillId="3" borderId="32" xfId="1" applyFont="1" applyFill="1" applyBorder="1" applyAlignment="1">
      <alignment horizontal="justify" vertical="center" wrapText="1"/>
    </xf>
    <xf numFmtId="9" fontId="16" fillId="28" borderId="19" xfId="1" applyNumberFormat="1" applyFont="1" applyFill="1" applyBorder="1" applyAlignment="1">
      <alignment horizontal="center" vertical="center" wrapText="1"/>
    </xf>
    <xf numFmtId="9" fontId="16" fillId="28" borderId="32" xfId="1" applyNumberFormat="1" applyFont="1" applyFill="1" applyBorder="1" applyAlignment="1">
      <alignment horizontal="center" vertical="center" wrapText="1"/>
    </xf>
    <xf numFmtId="0" fontId="47" fillId="63" borderId="18" xfId="1" applyFont="1" applyFill="1" applyBorder="1" applyAlignment="1">
      <alignment horizontal="center" vertical="center"/>
    </xf>
    <xf numFmtId="0" fontId="47" fillId="63" borderId="6" xfId="1" applyFont="1" applyFill="1" applyBorder="1" applyAlignment="1">
      <alignment horizontal="center" vertical="center"/>
    </xf>
    <xf numFmtId="0" fontId="47" fillId="63" borderId="31" xfId="1" applyFont="1" applyFill="1" applyBorder="1" applyAlignment="1">
      <alignment horizontal="center" vertical="center"/>
    </xf>
    <xf numFmtId="41" fontId="16" fillId="6" borderId="19" xfId="31" applyFont="1" applyFill="1" applyBorder="1" applyAlignment="1">
      <alignment horizontal="center" vertical="center" wrapText="1"/>
    </xf>
    <xf numFmtId="0" fontId="92" fillId="0" borderId="6" xfId="0" applyFont="1" applyBorder="1" applyAlignment="1">
      <alignment horizontal="center"/>
    </xf>
    <xf numFmtId="0" fontId="92" fillId="0" borderId="79" xfId="0" applyFont="1" applyBorder="1" applyAlignment="1">
      <alignment horizontal="center"/>
    </xf>
    <xf numFmtId="0" fontId="92" fillId="0" borderId="18" xfId="0" applyFont="1" applyBorder="1" applyAlignment="1">
      <alignment horizontal="center"/>
    </xf>
    <xf numFmtId="0" fontId="92" fillId="0" borderId="19" xfId="0" applyFont="1" applyBorder="1" applyAlignment="1">
      <alignment horizontal="center"/>
    </xf>
    <xf numFmtId="0" fontId="92" fillId="0" borderId="15" xfId="0" applyFont="1" applyBorder="1" applyAlignment="1">
      <alignment horizontal="center"/>
    </xf>
    <xf numFmtId="0" fontId="92" fillId="0" borderId="31" xfId="0" applyFont="1" applyBorder="1" applyAlignment="1">
      <alignment horizontal="center"/>
    </xf>
    <xf numFmtId="0" fontId="92" fillId="0" borderId="32" xfId="0" applyFont="1" applyBorder="1" applyAlignment="1">
      <alignment horizontal="center"/>
    </xf>
    <xf numFmtId="0" fontId="166" fillId="0" borderId="79" xfId="0" applyFont="1" applyBorder="1" applyAlignment="1">
      <alignment horizontal="center" vertical="center" wrapText="1"/>
    </xf>
    <xf numFmtId="0" fontId="167" fillId="0" borderId="79" xfId="0" applyFont="1" applyBorder="1" applyAlignment="1">
      <alignment horizontal="center" vertical="center"/>
    </xf>
    <xf numFmtId="0" fontId="172" fillId="0" borderId="79" xfId="0" applyFont="1" applyBorder="1" applyAlignment="1">
      <alignment horizontal="center" vertical="center" wrapText="1"/>
    </xf>
    <xf numFmtId="0" fontId="172" fillId="0" borderId="79" xfId="0" applyFont="1" applyBorder="1" applyAlignment="1">
      <alignment horizontal="center" vertical="center"/>
    </xf>
    <xf numFmtId="0" fontId="166" fillId="0" borderId="79" xfId="0" applyFont="1" applyBorder="1" applyAlignment="1">
      <alignment horizontal="center" vertical="center"/>
    </xf>
    <xf numFmtId="0" fontId="157" fillId="35" borderId="79" xfId="0" applyFont="1" applyFill="1" applyBorder="1" applyAlignment="1">
      <alignment horizontal="left" wrapText="1"/>
    </xf>
    <xf numFmtId="0" fontId="157" fillId="49" borderId="48" xfId="0" applyFont="1" applyFill="1" applyBorder="1" applyAlignment="1">
      <alignment horizontal="center" wrapText="1"/>
    </xf>
    <xf numFmtId="0" fontId="157" fillId="49" borderId="98" xfId="0" applyFont="1" applyFill="1" applyBorder="1" applyAlignment="1">
      <alignment horizontal="center" wrapText="1"/>
    </xf>
    <xf numFmtId="0" fontId="164" fillId="0" borderId="79" xfId="0" applyFont="1" applyBorder="1" applyAlignment="1">
      <alignment horizontal="center" vertical="center" wrapText="1"/>
    </xf>
    <xf numFmtId="0" fontId="161" fillId="6" borderId="79" xfId="0" applyFont="1" applyFill="1" applyBorder="1" applyAlignment="1">
      <alignment horizontal="center" vertical="center" wrapText="1"/>
    </xf>
    <xf numFmtId="0" fontId="163" fillId="19" borderId="79" xfId="0" applyFont="1" applyFill="1" applyBorder="1" applyAlignment="1">
      <alignment horizontal="center" vertical="center" wrapText="1"/>
    </xf>
    <xf numFmtId="0" fontId="58" fillId="0" borderId="89" xfId="8" applyFont="1" applyBorder="1" applyAlignment="1">
      <alignment horizontal="center"/>
    </xf>
    <xf numFmtId="0" fontId="156" fillId="59" borderId="41" xfId="0" applyFont="1" applyFill="1" applyBorder="1" applyAlignment="1">
      <alignment horizontal="center" vertical="center" wrapText="1"/>
    </xf>
    <xf numFmtId="0" fontId="156" fillId="59" borderId="42" xfId="0" applyFont="1" applyFill="1" applyBorder="1" applyAlignment="1">
      <alignment horizontal="center" vertical="center" wrapText="1"/>
    </xf>
    <xf numFmtId="0" fontId="156" fillId="59" borderId="43" xfId="0" applyFont="1" applyFill="1" applyBorder="1" applyAlignment="1">
      <alignment horizontal="center" vertical="center" wrapText="1"/>
    </xf>
    <xf numFmtId="0" fontId="157" fillId="60" borderId="36" xfId="0" applyFont="1" applyFill="1" applyBorder="1" applyAlignment="1">
      <alignment horizontal="center" vertical="center" wrapText="1"/>
    </xf>
    <xf numFmtId="0" fontId="157" fillId="60" borderId="44" xfId="0" applyFont="1" applyFill="1" applyBorder="1" applyAlignment="1">
      <alignment horizontal="center" vertical="center" wrapText="1"/>
    </xf>
    <xf numFmtId="0" fontId="158" fillId="60" borderId="72" xfId="0" applyFont="1" applyFill="1" applyBorder="1" applyAlignment="1">
      <alignment horizontal="center" vertical="center" wrapText="1"/>
    </xf>
    <xf numFmtId="0" fontId="80" fillId="60" borderId="48" xfId="0" applyFont="1" applyFill="1" applyBorder="1" applyAlignment="1">
      <alignment horizontal="center"/>
    </xf>
    <xf numFmtId="0" fontId="80" fillId="60" borderId="50" xfId="0" applyFont="1" applyFill="1" applyBorder="1" applyAlignment="1">
      <alignment horizontal="center"/>
    </xf>
    <xf numFmtId="0" fontId="37" fillId="0" borderId="87" xfId="8" applyFont="1" applyBorder="1" applyAlignment="1">
      <alignment horizontal="center"/>
    </xf>
    <xf numFmtId="0" fontId="37" fillId="0" borderId="8" xfId="8" applyFont="1" applyBorder="1" applyAlignment="1">
      <alignment horizontal="center"/>
    </xf>
    <xf numFmtId="0" fontId="37" fillId="0" borderId="84" xfId="8" applyFont="1" applyBorder="1" applyAlignment="1">
      <alignment horizontal="center"/>
    </xf>
    <xf numFmtId="10" fontId="75" fillId="13" borderId="57" xfId="8" applyNumberFormat="1" applyFont="1" applyFill="1" applyBorder="1" applyAlignment="1">
      <alignment horizontal="center" vertical="center"/>
    </xf>
    <xf numFmtId="0" fontId="75" fillId="13" borderId="57" xfId="8" applyFont="1" applyFill="1" applyBorder="1" applyAlignment="1">
      <alignment horizontal="center" vertical="center"/>
    </xf>
    <xf numFmtId="0" fontId="75" fillId="13" borderId="76" xfId="8" applyFont="1" applyFill="1" applyBorder="1" applyAlignment="1">
      <alignment horizontal="center" vertical="center"/>
    </xf>
    <xf numFmtId="10" fontId="75" fillId="13" borderId="60" xfId="8" applyNumberFormat="1" applyFont="1" applyFill="1" applyBorder="1" applyAlignment="1">
      <alignment horizontal="center" vertical="center"/>
    </xf>
    <xf numFmtId="10" fontId="75" fillId="13" borderId="61" xfId="8" applyNumberFormat="1" applyFont="1" applyFill="1" applyBorder="1" applyAlignment="1">
      <alignment horizontal="center" vertical="center"/>
    </xf>
    <xf numFmtId="0" fontId="37" fillId="0" borderId="30" xfId="8" applyFont="1" applyBorder="1" applyAlignment="1">
      <alignment horizontal="center"/>
    </xf>
    <xf numFmtId="0" fontId="37" fillId="0" borderId="21" xfId="8" applyFont="1" applyBorder="1" applyAlignment="1">
      <alignment horizontal="center"/>
    </xf>
    <xf numFmtId="0" fontId="37" fillId="0" borderId="41" xfId="8" applyFont="1" applyBorder="1" applyAlignment="1">
      <alignment horizontal="center"/>
    </xf>
    <xf numFmtId="0" fontId="37" fillId="0" borderId="42" xfId="8" applyFont="1" applyBorder="1" applyAlignment="1">
      <alignment horizontal="center"/>
    </xf>
    <xf numFmtId="9" fontId="37" fillId="13" borderId="6" xfId="19" applyFont="1" applyFill="1" applyBorder="1" applyAlignment="1">
      <alignment horizontal="center"/>
    </xf>
    <xf numFmtId="9" fontId="37" fillId="13" borderId="2" xfId="19" applyFont="1" applyFill="1" applyBorder="1" applyAlignment="1">
      <alignment horizontal="center"/>
    </xf>
    <xf numFmtId="9" fontId="37" fillId="13" borderId="87" xfId="19" applyFont="1" applyFill="1" applyBorder="1" applyAlignment="1">
      <alignment horizontal="center"/>
    </xf>
    <xf numFmtId="0" fontId="37" fillId="0" borderId="6" xfId="8" applyFont="1" applyBorder="1" applyAlignment="1">
      <alignment horizontal="center"/>
    </xf>
    <xf numFmtId="0" fontId="37" fillId="0" borderId="2" xfId="8" applyFont="1" applyBorder="1" applyAlignment="1">
      <alignment horizontal="center"/>
    </xf>
    <xf numFmtId="0" fontId="19" fillId="17" borderId="23" xfId="8" applyFont="1" applyFill="1" applyBorder="1" applyAlignment="1">
      <alignment horizontal="center" vertical="center" wrapText="1"/>
    </xf>
    <xf numFmtId="0" fontId="19" fillId="17" borderId="7" xfId="8" applyFont="1" applyFill="1" applyBorder="1" applyAlignment="1">
      <alignment horizontal="center" vertical="center" wrapText="1"/>
    </xf>
    <xf numFmtId="0" fontId="37" fillId="15" borderId="55" xfId="8" applyFont="1" applyFill="1" applyBorder="1" applyAlignment="1">
      <alignment horizontal="justify" vertical="center" wrapText="1"/>
    </xf>
    <xf numFmtId="0" fontId="37" fillId="15" borderId="72" xfId="8" applyFont="1" applyFill="1" applyBorder="1" applyAlignment="1">
      <alignment horizontal="justify" vertical="center"/>
    </xf>
    <xf numFmtId="0" fontId="37" fillId="15" borderId="38" xfId="8" applyFont="1" applyFill="1" applyBorder="1" applyAlignment="1">
      <alignment horizontal="justify" vertical="center"/>
    </xf>
    <xf numFmtId="0" fontId="37" fillId="0" borderId="22" xfId="8" applyFont="1" applyBorder="1" applyAlignment="1">
      <alignment horizontal="center"/>
    </xf>
    <xf numFmtId="0" fontId="37" fillId="0" borderId="19" xfId="8" applyFont="1" applyBorder="1" applyAlignment="1">
      <alignment horizontal="center"/>
    </xf>
    <xf numFmtId="0" fontId="37" fillId="0" borderId="15" xfId="8" applyFont="1" applyBorder="1" applyAlignment="1">
      <alignment horizontal="center"/>
    </xf>
    <xf numFmtId="0" fontId="37" fillId="0" borderId="29" xfId="8" applyFont="1" applyBorder="1" applyAlignment="1">
      <alignment horizontal="center"/>
    </xf>
    <xf numFmtId="0" fontId="44" fillId="0" borderId="36" xfId="8" applyFont="1" applyBorder="1" applyAlignment="1">
      <alignment horizontal="center" vertical="center"/>
    </xf>
    <xf numFmtId="0" fontId="44" fillId="0" borderId="0" xfId="8" applyFont="1" applyAlignment="1">
      <alignment horizontal="center" vertical="center"/>
    </xf>
    <xf numFmtId="10" fontId="75" fillId="13" borderId="71" xfId="8" applyNumberFormat="1" applyFont="1" applyFill="1" applyBorder="1" applyAlignment="1">
      <alignment horizontal="center" vertical="center"/>
    </xf>
    <xf numFmtId="10" fontId="19" fillId="12" borderId="79" xfId="0" applyNumberFormat="1" applyFont="1" applyFill="1" applyBorder="1" applyAlignment="1">
      <alignment horizontal="center" vertical="center" wrapText="1"/>
    </xf>
    <xf numFmtId="0" fontId="12" fillId="0" borderId="86" xfId="0" applyFont="1" applyBorder="1" applyAlignment="1">
      <alignment horizontal="justify" vertical="center"/>
    </xf>
    <xf numFmtId="0" fontId="12" fillId="0" borderId="45" xfId="0" applyFont="1" applyBorder="1" applyAlignment="1">
      <alignment horizontal="justify" vertical="center"/>
    </xf>
    <xf numFmtId="0" fontId="12" fillId="0" borderId="81" xfId="0" applyFont="1" applyBorder="1" applyAlignment="1">
      <alignment horizontal="justify" vertical="center"/>
    </xf>
    <xf numFmtId="0" fontId="12" fillId="0" borderId="83" xfId="0" applyFont="1" applyBorder="1" applyAlignment="1">
      <alignment horizontal="justify" vertical="center"/>
    </xf>
    <xf numFmtId="0" fontId="12" fillId="0" borderId="80" xfId="0" applyFont="1" applyBorder="1" applyAlignment="1">
      <alignment horizontal="justify" vertical="center"/>
    </xf>
    <xf numFmtId="0" fontId="19" fillId="7" borderId="79" xfId="0" applyFont="1" applyFill="1" applyBorder="1" applyAlignment="1">
      <alignment horizontal="center" vertical="center"/>
    </xf>
    <xf numFmtId="10" fontId="19" fillId="7" borderId="79" xfId="0" applyNumberFormat="1" applyFont="1" applyFill="1" applyBorder="1" applyAlignment="1">
      <alignment horizontal="center" vertical="center"/>
    </xf>
    <xf numFmtId="0" fontId="19" fillId="12" borderId="79" xfId="0" applyFont="1" applyFill="1" applyBorder="1" applyAlignment="1">
      <alignment horizontal="center" vertical="center"/>
    </xf>
    <xf numFmtId="0" fontId="22" fillId="7" borderId="83" xfId="0" applyFont="1" applyFill="1" applyBorder="1" applyAlignment="1">
      <alignment horizontal="center" vertical="center"/>
    </xf>
    <xf numFmtId="0" fontId="22" fillId="7" borderId="80" xfId="0" applyFont="1" applyFill="1" applyBorder="1" applyAlignment="1">
      <alignment horizontal="center" vertical="center"/>
    </xf>
    <xf numFmtId="10" fontId="22" fillId="7" borderId="83" xfId="0" applyNumberFormat="1" applyFont="1" applyFill="1" applyBorder="1" applyAlignment="1">
      <alignment horizontal="center" vertical="center"/>
    </xf>
    <xf numFmtId="10" fontId="22" fillId="7" borderId="80" xfId="0" applyNumberFormat="1" applyFont="1" applyFill="1" applyBorder="1" applyAlignment="1">
      <alignment horizontal="center" vertical="center"/>
    </xf>
    <xf numFmtId="0" fontId="22" fillId="12" borderId="83" xfId="0" applyFont="1" applyFill="1" applyBorder="1" applyAlignment="1">
      <alignment horizontal="center" vertical="center"/>
    </xf>
    <xf numFmtId="0" fontId="22" fillId="12" borderId="80" xfId="0" applyFont="1" applyFill="1" applyBorder="1" applyAlignment="1">
      <alignment horizontal="center" vertical="center"/>
    </xf>
    <xf numFmtId="10" fontId="22" fillId="12" borderId="83" xfId="0" applyNumberFormat="1" applyFont="1" applyFill="1" applyBorder="1" applyAlignment="1">
      <alignment horizontal="center" vertical="center"/>
    </xf>
    <xf numFmtId="10" fontId="22" fillId="12" borderId="80" xfId="0" applyNumberFormat="1" applyFont="1" applyFill="1" applyBorder="1" applyAlignment="1">
      <alignment horizontal="center" vertical="center"/>
    </xf>
    <xf numFmtId="0" fontId="19" fillId="0" borderId="82" xfId="0" applyFont="1" applyBorder="1" applyAlignment="1">
      <alignment horizontal="left" vertical="center"/>
    </xf>
    <xf numFmtId="0" fontId="19" fillId="0" borderId="85" xfId="0" applyFont="1" applyBorder="1" applyAlignment="1">
      <alignment horizontal="left" vertical="center"/>
    </xf>
    <xf numFmtId="0" fontId="44" fillId="0" borderId="48" xfId="8" applyFont="1" applyBorder="1" applyAlignment="1">
      <alignment horizontal="center" vertical="center"/>
    </xf>
    <xf numFmtId="0" fontId="44" fillId="0" borderId="49" xfId="8" applyFont="1" applyBorder="1" applyAlignment="1">
      <alignment horizontal="center" vertical="center"/>
    </xf>
    <xf numFmtId="0" fontId="63" fillId="13" borderId="41" xfId="0" applyFont="1" applyFill="1" applyBorder="1" applyAlignment="1">
      <alignment horizontal="justify" vertical="center" wrapText="1"/>
    </xf>
    <xf numFmtId="0" fontId="37" fillId="13" borderId="42" xfId="0" applyFont="1" applyFill="1" applyBorder="1" applyAlignment="1">
      <alignment horizontal="justify" vertical="center" wrapText="1"/>
    </xf>
    <xf numFmtId="0" fontId="37" fillId="13" borderId="43" xfId="0" applyFont="1" applyFill="1" applyBorder="1" applyAlignment="1">
      <alignment horizontal="justify" vertical="center" wrapText="1"/>
    </xf>
    <xf numFmtId="9" fontId="24" fillId="0" borderId="4" xfId="8" applyNumberFormat="1" applyFont="1" applyBorder="1" applyAlignment="1">
      <alignment horizontal="center"/>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26" fillId="0" borderId="14" xfId="0" applyFont="1" applyBorder="1" applyAlignment="1">
      <alignment horizontal="justify" vertical="center"/>
    </xf>
    <xf numFmtId="0" fontId="26" fillId="0" borderId="34" xfId="0" applyFont="1" applyBorder="1" applyAlignment="1">
      <alignment horizontal="justify" vertical="center"/>
    </xf>
    <xf numFmtId="0" fontId="17" fillId="7" borderId="20" xfId="0" applyFont="1" applyFill="1" applyBorder="1" applyAlignment="1">
      <alignment horizontal="center" vertical="center" wrapText="1"/>
    </xf>
    <xf numFmtId="0" fontId="47" fillId="7" borderId="22"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47" fillId="11" borderId="29" xfId="0" applyFont="1" applyFill="1" applyBorder="1" applyAlignment="1">
      <alignment horizontal="center" vertical="center" wrapText="1"/>
    </xf>
    <xf numFmtId="0" fontId="22" fillId="6" borderId="82" xfId="0" applyFont="1" applyFill="1" applyBorder="1" applyAlignment="1">
      <alignment horizontal="justify" vertical="center"/>
    </xf>
    <xf numFmtId="0" fontId="22" fillId="6" borderId="85" xfId="0" applyFont="1" applyFill="1" applyBorder="1" applyAlignment="1">
      <alignment horizontal="justify" vertical="center"/>
    </xf>
    <xf numFmtId="10" fontId="19" fillId="11" borderId="79" xfId="0" applyNumberFormat="1" applyFont="1" applyFill="1" applyBorder="1" applyAlignment="1">
      <alignment horizontal="center" vertical="center"/>
    </xf>
    <xf numFmtId="0" fontId="12" fillId="6" borderId="82" xfId="0" applyFont="1" applyFill="1" applyBorder="1" applyAlignment="1">
      <alignment horizontal="justify" vertical="center"/>
    </xf>
    <xf numFmtId="0" fontId="12" fillId="6" borderId="85" xfId="0" applyFont="1" applyFill="1" applyBorder="1" applyAlignment="1">
      <alignment horizontal="justify" vertical="center"/>
    </xf>
    <xf numFmtId="0" fontId="22" fillId="7" borderId="79" xfId="0" applyFont="1" applyFill="1" applyBorder="1" applyAlignment="1">
      <alignment horizontal="center" vertical="center"/>
    </xf>
    <xf numFmtId="0" fontId="19" fillId="6" borderId="82" xfId="0" applyFont="1" applyFill="1" applyBorder="1" applyAlignment="1">
      <alignment horizontal="left" vertical="center"/>
    </xf>
    <xf numFmtId="0" fontId="19" fillId="6" borderId="85" xfId="0" applyFont="1" applyFill="1" applyBorder="1" applyAlignment="1">
      <alignment horizontal="left" vertical="center"/>
    </xf>
    <xf numFmtId="0" fontId="22" fillId="12" borderId="79" xfId="0" applyFont="1" applyFill="1" applyBorder="1" applyAlignment="1">
      <alignment horizontal="center" vertical="center"/>
    </xf>
    <xf numFmtId="10" fontId="22" fillId="11" borderId="79" xfId="0" applyNumberFormat="1" applyFont="1" applyFill="1" applyBorder="1" applyAlignment="1">
      <alignment horizontal="center" vertical="center"/>
    </xf>
    <xf numFmtId="10" fontId="22" fillId="7" borderId="79" xfId="0" applyNumberFormat="1" applyFont="1" applyFill="1" applyBorder="1" applyAlignment="1">
      <alignment horizontal="center" vertical="center"/>
    </xf>
    <xf numFmtId="0" fontId="19" fillId="7" borderId="83" xfId="0" applyFont="1" applyFill="1" applyBorder="1" applyAlignment="1">
      <alignment horizontal="center" vertical="center"/>
    </xf>
    <xf numFmtId="0" fontId="19" fillId="7" borderId="80" xfId="0" applyFont="1" applyFill="1" applyBorder="1" applyAlignment="1">
      <alignment horizontal="center" vertical="center"/>
    </xf>
    <xf numFmtId="10" fontId="19" fillId="7" borderId="83" xfId="0" applyNumberFormat="1" applyFont="1" applyFill="1" applyBorder="1" applyAlignment="1">
      <alignment horizontal="center" vertical="center"/>
    </xf>
    <xf numFmtId="10" fontId="19" fillId="7" borderId="80" xfId="0" applyNumberFormat="1" applyFont="1" applyFill="1" applyBorder="1" applyAlignment="1">
      <alignment horizontal="center" vertical="center"/>
    </xf>
    <xf numFmtId="0" fontId="68" fillId="0" borderId="36" xfId="8" applyFont="1" applyBorder="1" applyAlignment="1">
      <alignment horizontal="center"/>
    </xf>
    <xf numFmtId="0" fontId="68" fillId="0" borderId="0" xfId="8" applyFont="1" applyAlignment="1">
      <alignment horizontal="center"/>
    </xf>
    <xf numFmtId="0" fontId="19" fillId="0" borderId="82" xfId="0" applyFont="1" applyBorder="1" applyAlignment="1">
      <alignment horizontal="justify" vertical="center"/>
    </xf>
    <xf numFmtId="0" fontId="19" fillId="0" borderId="85" xfId="0" applyFont="1" applyBorder="1" applyAlignment="1">
      <alignment horizontal="justify" vertical="center"/>
    </xf>
    <xf numFmtId="0" fontId="19" fillId="7" borderId="3" xfId="0" applyFont="1" applyFill="1" applyBorder="1" applyAlignment="1">
      <alignment horizontal="center" vertical="center"/>
    </xf>
    <xf numFmtId="10" fontId="19" fillId="7" borderId="3" xfId="0" applyNumberFormat="1" applyFont="1" applyFill="1" applyBorder="1" applyAlignment="1">
      <alignment horizontal="center" vertical="center"/>
    </xf>
    <xf numFmtId="0" fontId="19" fillId="12" borderId="83" xfId="0" applyFont="1" applyFill="1" applyBorder="1" applyAlignment="1">
      <alignment horizontal="center" vertical="center"/>
    </xf>
    <xf numFmtId="0" fontId="19" fillId="12" borderId="3" xfId="0" applyFont="1" applyFill="1" applyBorder="1" applyAlignment="1">
      <alignment horizontal="center" vertical="center"/>
    </xf>
    <xf numFmtId="0" fontId="19" fillId="12" borderId="80" xfId="0" applyFont="1" applyFill="1" applyBorder="1" applyAlignment="1">
      <alignment horizontal="center" vertical="center"/>
    </xf>
    <xf numFmtId="10" fontId="19" fillId="12" borderId="83" xfId="0" applyNumberFormat="1" applyFont="1" applyFill="1" applyBorder="1" applyAlignment="1">
      <alignment horizontal="center" vertical="center" wrapText="1"/>
    </xf>
    <xf numFmtId="10" fontId="19" fillId="12" borderId="3" xfId="0" applyNumberFormat="1" applyFont="1" applyFill="1" applyBorder="1" applyAlignment="1">
      <alignment horizontal="center" vertical="center" wrapText="1"/>
    </xf>
    <xf numFmtId="10" fontId="19" fillId="12" borderId="80" xfId="0" applyNumberFormat="1" applyFont="1" applyFill="1" applyBorder="1" applyAlignment="1">
      <alignment horizontal="center" vertical="center" wrapText="1"/>
    </xf>
    <xf numFmtId="0" fontId="22" fillId="0" borderId="86" xfId="0" applyFont="1" applyBorder="1" applyAlignment="1">
      <alignment horizontal="justify" vertical="center"/>
    </xf>
    <xf numFmtId="0" fontId="22" fillId="0" borderId="81" xfId="0" applyFont="1" applyBorder="1" applyAlignment="1">
      <alignment horizontal="justify" vertical="center"/>
    </xf>
    <xf numFmtId="0" fontId="131" fillId="0" borderId="14" xfId="27" applyFont="1" applyBorder="1" applyAlignment="1">
      <alignment horizontal="center" vertical="center"/>
    </xf>
    <xf numFmtId="0" fontId="131" fillId="0" borderId="34" xfId="27" applyFont="1" applyBorder="1" applyAlignment="1">
      <alignment horizontal="center" vertical="center"/>
    </xf>
    <xf numFmtId="0" fontId="124" fillId="21" borderId="41" xfId="27" applyFont="1" applyFill="1" applyBorder="1" applyAlignment="1">
      <alignment horizontal="center" vertical="center"/>
    </xf>
    <xf numFmtId="0" fontId="124" fillId="21" borderId="42" xfId="27" applyFont="1" applyFill="1" applyBorder="1" applyAlignment="1">
      <alignment horizontal="center" vertical="center"/>
    </xf>
    <xf numFmtId="0" fontId="124" fillId="21" borderId="39" xfId="27" applyFont="1" applyFill="1" applyBorder="1" applyAlignment="1">
      <alignment horizontal="center" vertical="center"/>
    </xf>
    <xf numFmtId="0" fontId="124" fillId="21" borderId="47" xfId="27" applyFont="1" applyFill="1" applyBorder="1" applyAlignment="1">
      <alignment horizontal="center" vertical="center"/>
    </xf>
    <xf numFmtId="0" fontId="127" fillId="35" borderId="30" xfId="27" applyFont="1" applyFill="1" applyBorder="1" applyAlignment="1">
      <alignment horizontal="justify" vertical="center"/>
    </xf>
    <xf numFmtId="0" fontId="127" fillId="35" borderId="59" xfId="27" applyFont="1" applyFill="1" applyBorder="1" applyAlignment="1">
      <alignment horizontal="justify" vertical="center"/>
    </xf>
    <xf numFmtId="0" fontId="128" fillId="35" borderId="18" xfId="27" applyFont="1" applyFill="1" applyBorder="1" applyAlignment="1">
      <alignment horizontal="center" vertical="center"/>
    </xf>
    <xf numFmtId="0" fontId="128" fillId="35" borderId="15" xfId="27" applyFont="1" applyFill="1" applyBorder="1" applyAlignment="1">
      <alignment horizontal="center" vertical="center"/>
    </xf>
    <xf numFmtId="0" fontId="128" fillId="35" borderId="22" xfId="27" applyFont="1" applyFill="1" applyBorder="1" applyAlignment="1">
      <alignment horizontal="center" vertical="center"/>
    </xf>
    <xf numFmtId="0" fontId="128" fillId="35" borderId="20" xfId="27" applyFont="1" applyFill="1" applyBorder="1" applyAlignment="1">
      <alignment horizontal="center" vertical="center"/>
    </xf>
    <xf numFmtId="0" fontId="128" fillId="35" borderId="79" xfId="27" applyFont="1" applyFill="1" applyBorder="1" applyAlignment="1">
      <alignment horizontal="center" vertical="center"/>
    </xf>
    <xf numFmtId="0" fontId="130" fillId="0" borderId="103" xfId="27" applyFont="1" applyBorder="1" applyAlignment="1">
      <alignment horizontal="center" vertical="center"/>
    </xf>
    <xf numFmtId="0" fontId="130" fillId="0" borderId="74" xfId="27" applyFont="1" applyBorder="1" applyAlignment="1">
      <alignment horizontal="center" vertical="center"/>
    </xf>
    <xf numFmtId="0" fontId="130" fillId="0" borderId="14" xfId="27" applyFont="1" applyBorder="1" applyAlignment="1">
      <alignment horizontal="center" vertical="center" wrapText="1"/>
    </xf>
    <xf numFmtId="0" fontId="130" fillId="0" borderId="34" xfId="27" applyFont="1" applyBorder="1" applyAlignment="1">
      <alignment horizontal="center" vertical="center"/>
    </xf>
    <xf numFmtId="0" fontId="131" fillId="0" borderId="55" xfId="27" applyFont="1" applyBorder="1" applyAlignment="1">
      <alignment horizontal="justify" vertical="center"/>
    </xf>
    <xf numFmtId="0" fontId="131" fillId="0" borderId="38" xfId="27" applyFont="1" applyBorder="1" applyAlignment="1">
      <alignment horizontal="justify" vertical="center"/>
    </xf>
    <xf numFmtId="0" fontId="128" fillId="35" borderId="18" xfId="26" applyFont="1" applyFill="1" applyBorder="1" applyAlignment="1">
      <alignment horizontal="center" vertical="center"/>
    </xf>
    <xf numFmtId="0" fontId="128" fillId="35" borderId="31" xfId="26" applyFont="1" applyFill="1" applyBorder="1" applyAlignment="1">
      <alignment horizontal="center" vertical="center"/>
    </xf>
    <xf numFmtId="0" fontId="128" fillId="35" borderId="19" xfId="26" applyFont="1" applyFill="1" applyBorder="1" applyAlignment="1">
      <alignment horizontal="center" vertical="center"/>
    </xf>
    <xf numFmtId="0" fontId="132" fillId="35" borderId="20" xfId="26" applyFont="1" applyFill="1" applyBorder="1" applyAlignment="1">
      <alignment horizontal="center" vertical="center"/>
    </xf>
    <xf numFmtId="0" fontId="132" fillId="35" borderId="97" xfId="26" applyFont="1" applyFill="1" applyBorder="1" applyAlignment="1">
      <alignment horizontal="center" vertical="center"/>
    </xf>
    <xf numFmtId="0" fontId="132" fillId="35" borderId="15" xfId="26" applyFont="1" applyFill="1" applyBorder="1" applyAlignment="1">
      <alignment horizontal="center" vertical="center"/>
    </xf>
    <xf numFmtId="0" fontId="132" fillId="35" borderId="35" xfId="26" applyFont="1" applyFill="1" applyBorder="1" applyAlignment="1">
      <alignment horizontal="center" vertical="center"/>
    </xf>
    <xf numFmtId="0" fontId="184" fillId="35" borderId="15" xfId="26" applyFont="1" applyFill="1" applyBorder="1" applyAlignment="1">
      <alignment horizontal="justify" vertical="center"/>
    </xf>
    <xf numFmtId="0" fontId="184" fillId="35" borderId="35" xfId="26" applyFont="1" applyFill="1" applyBorder="1" applyAlignment="1">
      <alignment horizontal="justify" vertical="center"/>
    </xf>
    <xf numFmtId="0" fontId="194" fillId="13" borderId="41" xfId="0" applyFont="1" applyFill="1" applyBorder="1" applyAlignment="1">
      <alignment horizontal="justify" vertical="center" wrapText="1"/>
    </xf>
    <xf numFmtId="0" fontId="185" fillId="13" borderId="42" xfId="0" applyFont="1" applyFill="1" applyBorder="1" applyAlignment="1">
      <alignment horizontal="justify" vertical="center"/>
    </xf>
    <xf numFmtId="0" fontId="185" fillId="13" borderId="43" xfId="0" applyFont="1" applyFill="1" applyBorder="1" applyAlignment="1">
      <alignment horizontal="justify" vertical="center"/>
    </xf>
    <xf numFmtId="0" fontId="10" fillId="13" borderId="79" xfId="27" applyFont="1" applyFill="1" applyBorder="1" applyAlignment="1">
      <alignment horizontal="justify" vertical="center" wrapText="1"/>
    </xf>
    <xf numFmtId="0" fontId="10" fillId="13" borderId="79" xfId="27" applyFont="1" applyFill="1" applyBorder="1" applyAlignment="1">
      <alignment horizontal="justify" vertical="center"/>
    </xf>
    <xf numFmtId="0" fontId="24" fillId="33" borderId="41" xfId="27" applyFont="1" applyFill="1" applyBorder="1" applyAlignment="1">
      <alignment horizontal="center" vertical="center"/>
    </xf>
    <xf numFmtId="0" fontId="24" fillId="33" borderId="42" xfId="27" applyFont="1" applyFill="1" applyBorder="1" applyAlignment="1">
      <alignment horizontal="center" vertical="center"/>
    </xf>
    <xf numFmtId="0" fontId="24" fillId="33" borderId="43" xfId="27" applyFont="1" applyFill="1" applyBorder="1" applyAlignment="1">
      <alignment horizontal="center" vertical="center"/>
    </xf>
    <xf numFmtId="0" fontId="10" fillId="13" borderId="46" xfId="27" applyFont="1" applyFill="1" applyBorder="1" applyAlignment="1">
      <alignment horizontal="justify" vertical="center" wrapText="1"/>
    </xf>
    <xf numFmtId="0" fontId="10" fillId="13" borderId="39" xfId="27" applyFont="1" applyFill="1" applyBorder="1" applyAlignment="1">
      <alignment horizontal="justify" vertical="center"/>
    </xf>
    <xf numFmtId="0" fontId="10" fillId="13" borderId="47" xfId="27" applyFont="1" applyFill="1" applyBorder="1" applyAlignment="1">
      <alignment horizontal="justify" vertical="center"/>
    </xf>
    <xf numFmtId="0" fontId="10" fillId="13" borderId="48" xfId="27" applyFont="1" applyFill="1" applyBorder="1" applyAlignment="1">
      <alignment horizontal="justify" vertical="center" wrapText="1"/>
    </xf>
    <xf numFmtId="0" fontId="10" fillId="13" borderId="49" xfId="27" applyFont="1" applyFill="1" applyBorder="1" applyAlignment="1">
      <alignment horizontal="justify" vertical="center"/>
    </xf>
    <xf numFmtId="0" fontId="10" fillId="13" borderId="50" xfId="27" applyFont="1" applyFill="1" applyBorder="1" applyAlignment="1">
      <alignment horizontal="justify" vertical="center"/>
    </xf>
    <xf numFmtId="0" fontId="10" fillId="13" borderId="36" xfId="27" applyFont="1" applyFill="1" applyBorder="1" applyAlignment="1">
      <alignment horizontal="justify" vertical="center" wrapText="1"/>
    </xf>
    <xf numFmtId="0" fontId="10" fillId="13" borderId="0" xfId="27" applyFont="1" applyFill="1" applyBorder="1" applyAlignment="1">
      <alignment horizontal="justify" vertical="center"/>
    </xf>
    <xf numFmtId="0" fontId="10" fillId="13" borderId="44" xfId="27" applyFont="1" applyFill="1" applyBorder="1" applyAlignment="1">
      <alignment horizontal="justify" vertical="center"/>
    </xf>
    <xf numFmtId="167" fontId="44" fillId="6" borderId="87" xfId="33" applyNumberFormat="1" applyFont="1" applyFill="1" applyBorder="1" applyAlignment="1">
      <alignment vertical="center" wrapText="1"/>
    </xf>
    <xf numFmtId="167" fontId="44" fillId="6" borderId="84" xfId="33" applyNumberFormat="1" applyFont="1" applyFill="1" applyBorder="1" applyAlignment="1">
      <alignment vertical="center" wrapText="1"/>
    </xf>
    <xf numFmtId="0" fontId="89" fillId="21" borderId="41" xfId="7" applyFont="1" applyFill="1" applyBorder="1" applyAlignment="1">
      <alignment horizontal="center" vertical="center"/>
    </xf>
    <xf numFmtId="0" fontId="89" fillId="21" borderId="42" xfId="7" applyFont="1" applyFill="1" applyBorder="1" applyAlignment="1">
      <alignment horizontal="center" vertical="center"/>
    </xf>
    <xf numFmtId="0" fontId="89" fillId="21" borderId="43" xfId="7" applyFont="1" applyFill="1" applyBorder="1" applyAlignment="1">
      <alignment horizontal="center" vertical="center"/>
    </xf>
    <xf numFmtId="0" fontId="17" fillId="56" borderId="80" xfId="1" applyFont="1" applyFill="1" applyBorder="1" applyAlignment="1">
      <alignment horizontal="justify" vertical="center"/>
    </xf>
    <xf numFmtId="0" fontId="24" fillId="56" borderId="79" xfId="1" applyFont="1" applyFill="1" applyBorder="1" applyAlignment="1">
      <alignment horizontal="justify" vertical="center"/>
    </xf>
    <xf numFmtId="0" fontId="17" fillId="56" borderId="80" xfId="1" applyFont="1" applyFill="1" applyBorder="1" applyAlignment="1">
      <alignment horizontal="center" vertical="center"/>
    </xf>
    <xf numFmtId="0" fontId="24" fillId="56" borderId="79" xfId="1" applyFont="1" applyFill="1" applyBorder="1"/>
    <xf numFmtId="9" fontId="17" fillId="56" borderId="80" xfId="3" applyFont="1" applyFill="1" applyBorder="1" applyAlignment="1">
      <alignment horizontal="center"/>
    </xf>
    <xf numFmtId="9" fontId="17" fillId="56" borderId="91" xfId="3" applyFont="1" applyFill="1" applyBorder="1" applyAlignment="1">
      <alignment horizontal="center"/>
    </xf>
    <xf numFmtId="9" fontId="17" fillId="56" borderId="89" xfId="3" applyFont="1" applyFill="1" applyBorder="1" applyAlignment="1">
      <alignment horizontal="center"/>
    </xf>
    <xf numFmtId="9" fontId="17" fillId="56" borderId="81" xfId="3" applyFont="1" applyFill="1" applyBorder="1" applyAlignment="1">
      <alignment horizontal="center"/>
    </xf>
    <xf numFmtId="9" fontId="17" fillId="56" borderId="20" xfId="3" applyFont="1" applyFill="1" applyBorder="1" applyAlignment="1">
      <alignment horizontal="center"/>
    </xf>
    <xf numFmtId="9" fontId="17" fillId="56" borderId="22" xfId="3" applyFont="1" applyFill="1" applyBorder="1" applyAlignment="1">
      <alignment horizontal="center"/>
    </xf>
    <xf numFmtId="0" fontId="17" fillId="56" borderId="80" xfId="1" applyFont="1" applyFill="1" applyBorder="1" applyAlignment="1">
      <alignment horizontal="center" vertical="center" wrapText="1"/>
    </xf>
    <xf numFmtId="0" fontId="17" fillId="56" borderId="79" xfId="1" applyFont="1" applyFill="1" applyBorder="1" applyAlignment="1">
      <alignment horizontal="center" vertical="center" wrapText="1"/>
    </xf>
    <xf numFmtId="0" fontId="17" fillId="6" borderId="79" xfId="1" applyFont="1" applyFill="1" applyBorder="1" applyAlignment="1">
      <alignment horizontal="justify" vertical="center" wrapText="1"/>
    </xf>
    <xf numFmtId="167" fontId="44" fillId="50" borderId="87" xfId="33" applyNumberFormat="1" applyFont="1" applyFill="1" applyBorder="1" applyAlignment="1">
      <alignment vertical="center" wrapText="1"/>
    </xf>
    <xf numFmtId="167" fontId="44" fillId="50" borderId="84" xfId="33" applyNumberFormat="1" applyFont="1" applyFill="1" applyBorder="1" applyAlignment="1">
      <alignment vertical="center" wrapText="1"/>
    </xf>
    <xf numFmtId="167" fontId="17" fillId="6" borderId="79" xfId="33" applyNumberFormat="1" applyFont="1" applyFill="1" applyBorder="1" applyAlignment="1">
      <alignment horizontal="center" vertical="center" wrapText="1"/>
    </xf>
    <xf numFmtId="167" fontId="44" fillId="37" borderId="79" xfId="33" applyNumberFormat="1" applyFont="1" applyFill="1" applyBorder="1" applyAlignment="1">
      <alignment horizontal="center" vertical="center" wrapText="1"/>
    </xf>
    <xf numFmtId="167" fontId="44" fillId="37" borderId="87" xfId="33" applyNumberFormat="1" applyFont="1" applyFill="1" applyBorder="1" applyAlignment="1">
      <alignment horizontal="center" vertical="center" wrapText="1"/>
    </xf>
    <xf numFmtId="167" fontId="44" fillId="37" borderId="84" xfId="33" applyNumberFormat="1" applyFont="1" applyFill="1" applyBorder="1" applyAlignment="1">
      <alignment horizontal="center" vertical="center" wrapText="1"/>
    </xf>
    <xf numFmtId="167" fontId="44" fillId="37" borderId="87" xfId="33" applyNumberFormat="1" applyFont="1" applyFill="1" applyBorder="1" applyAlignment="1">
      <alignment vertical="center" wrapText="1"/>
    </xf>
    <xf numFmtId="167" fontId="44" fillId="37" borderId="84" xfId="33" applyNumberFormat="1" applyFont="1" applyFill="1" applyBorder="1" applyAlignment="1">
      <alignment vertical="center" wrapText="1"/>
    </xf>
    <xf numFmtId="167" fontId="24" fillId="6" borderId="79" xfId="13" applyNumberFormat="1" applyFont="1" applyFill="1" applyBorder="1" applyAlignment="1">
      <alignment vertical="center" wrapText="1"/>
    </xf>
    <xf numFmtId="167" fontId="17" fillId="6" borderId="79" xfId="13" applyNumberFormat="1" applyFont="1" applyFill="1" applyBorder="1" applyAlignment="1">
      <alignment horizontal="center" vertical="center" wrapText="1"/>
    </xf>
    <xf numFmtId="9" fontId="24" fillId="6" borderId="79" xfId="32" applyFont="1" applyFill="1" applyBorder="1" applyAlignment="1">
      <alignment horizontal="center" vertical="center" wrapText="1"/>
    </xf>
    <xf numFmtId="0" fontId="208" fillId="13" borderId="41" xfId="7" applyFont="1" applyFill="1" applyBorder="1" applyAlignment="1">
      <alignment horizontal="justify" vertical="center" wrapText="1"/>
    </xf>
    <xf numFmtId="0" fontId="208" fillId="13" borderId="42" xfId="7" applyFont="1" applyFill="1" applyBorder="1" applyAlignment="1">
      <alignment horizontal="justify" vertical="center" wrapText="1"/>
    </xf>
    <xf numFmtId="0" fontId="208" fillId="13" borderId="43" xfId="7" applyFont="1" applyFill="1" applyBorder="1" applyAlignment="1">
      <alignment horizontal="justify" vertical="center" wrapText="1"/>
    </xf>
    <xf numFmtId="0" fontId="37" fillId="49" borderId="41" xfId="0" applyFont="1" applyFill="1" applyBorder="1" applyAlignment="1">
      <alignment horizontal="center" vertical="center"/>
    </xf>
    <xf numFmtId="0" fontId="37" fillId="49" borderId="78" xfId="0" applyFont="1" applyFill="1" applyBorder="1" applyAlignment="1">
      <alignment horizontal="center" vertical="center"/>
    </xf>
    <xf numFmtId="0" fontId="19" fillId="6" borderId="79" xfId="1" applyFont="1" applyFill="1" applyBorder="1" applyAlignment="1">
      <alignment horizontal="justify" vertical="center" wrapText="1"/>
    </xf>
    <xf numFmtId="0" fontId="17" fillId="6" borderId="83" xfId="1" applyFont="1" applyFill="1" applyBorder="1" applyAlignment="1">
      <alignment horizontal="center" vertical="center" wrapText="1"/>
    </xf>
    <xf numFmtId="0" fontId="17" fillId="6" borderId="80" xfId="1" applyFont="1" applyFill="1" applyBorder="1" applyAlignment="1">
      <alignment horizontal="center" vertical="center" wrapText="1"/>
    </xf>
    <xf numFmtId="9" fontId="10" fillId="6" borderId="79" xfId="1" applyNumberFormat="1" applyFont="1" applyFill="1" applyBorder="1" applyAlignment="1">
      <alignment horizontal="center" vertical="center" wrapText="1"/>
    </xf>
    <xf numFmtId="165" fontId="10" fillId="6" borderId="79" xfId="3" applyNumberFormat="1" applyFont="1" applyFill="1" applyBorder="1" applyAlignment="1">
      <alignment horizontal="center" vertical="center" wrapText="1"/>
    </xf>
    <xf numFmtId="0" fontId="105" fillId="0" borderId="88" xfId="7" applyFont="1" applyBorder="1" applyAlignment="1">
      <alignment horizontal="center" vertical="center"/>
    </xf>
    <xf numFmtId="0" fontId="22" fillId="49" borderId="55" xfId="0" applyFont="1" applyFill="1" applyBorder="1" applyAlignment="1">
      <alignment horizontal="justify" vertical="center"/>
    </xf>
    <xf numFmtId="0" fontId="22" fillId="49" borderId="77" xfId="0" applyFont="1" applyFill="1" applyBorder="1" applyAlignment="1">
      <alignment horizontal="justify" vertical="center"/>
    </xf>
    <xf numFmtId="0" fontId="183" fillId="0" borderId="0" xfId="7" applyFont="1" applyAlignment="1">
      <alignment horizontal="justify" vertical="center" wrapText="1"/>
    </xf>
    <xf numFmtId="0" fontId="183" fillId="0" borderId="0" xfId="7" applyFont="1" applyAlignment="1">
      <alignment horizontal="justify" vertical="center"/>
    </xf>
    <xf numFmtId="10" fontId="12" fillId="13" borderId="80" xfId="3" applyNumberFormat="1" applyFont="1" applyFill="1" applyBorder="1" applyAlignment="1">
      <alignment horizontal="center" vertical="center" wrapText="1"/>
    </xf>
    <xf numFmtId="10" fontId="16" fillId="6" borderId="79" xfId="0" applyNumberFormat="1" applyFont="1" applyFill="1" applyBorder="1" applyAlignment="1">
      <alignment horizontal="center" vertical="center" wrapText="1" readingOrder="1"/>
    </xf>
    <xf numFmtId="10" fontId="12" fillId="6" borderId="19" xfId="3" applyNumberFormat="1" applyFont="1" applyFill="1" applyBorder="1" applyAlignment="1">
      <alignment horizontal="center" vertical="center" wrapText="1"/>
    </xf>
    <xf numFmtId="10" fontId="16" fillId="6" borderId="57" xfId="0" applyNumberFormat="1" applyFont="1" applyFill="1" applyBorder="1" applyAlignment="1">
      <alignment horizontal="center" vertical="center" wrapText="1" readingOrder="1"/>
    </xf>
    <xf numFmtId="10" fontId="16" fillId="6" borderId="105" xfId="0" applyNumberFormat="1" applyFont="1" applyFill="1" applyBorder="1" applyAlignment="1">
      <alignment horizontal="center" vertical="center" wrapText="1" readingOrder="1"/>
    </xf>
    <xf numFmtId="10" fontId="12" fillId="6" borderId="80" xfId="3" applyNumberFormat="1" applyFont="1" applyFill="1" applyBorder="1" applyAlignment="1">
      <alignment horizontal="center" vertical="center" wrapText="1"/>
    </xf>
    <xf numFmtId="10" fontId="12" fillId="6" borderId="87" xfId="19" applyNumberFormat="1" applyFont="1" applyFill="1" applyBorder="1" applyAlignment="1">
      <alignment horizontal="center" vertical="center" wrapText="1"/>
    </xf>
    <xf numFmtId="10" fontId="12" fillId="6" borderId="84" xfId="19" applyNumberFormat="1" applyFont="1" applyFill="1" applyBorder="1" applyAlignment="1">
      <alignment horizontal="center" vertical="center" wrapText="1"/>
    </xf>
    <xf numFmtId="10" fontId="12" fillId="6" borderId="79" xfId="3" applyNumberFormat="1" applyFont="1" applyFill="1" applyBorder="1" applyAlignment="1">
      <alignment horizontal="center" vertical="center" wrapText="1"/>
    </xf>
    <xf numFmtId="10" fontId="16" fillId="6" borderId="87" xfId="0" applyNumberFormat="1" applyFont="1" applyFill="1" applyBorder="1" applyAlignment="1">
      <alignment horizontal="center" vertical="center" wrapText="1" readingOrder="1"/>
    </xf>
    <xf numFmtId="10" fontId="16" fillId="6" borderId="84" xfId="0" applyNumberFormat="1" applyFont="1" applyFill="1" applyBorder="1" applyAlignment="1">
      <alignment horizontal="center" vertical="center" wrapText="1" readingOrder="1"/>
    </xf>
    <xf numFmtId="10" fontId="16" fillId="6" borderId="79" xfId="3" applyNumberFormat="1" applyFont="1" applyFill="1" applyBorder="1" applyAlignment="1">
      <alignment horizontal="center" vertical="center" wrapText="1"/>
    </xf>
    <xf numFmtId="10" fontId="16" fillId="6" borderId="4" xfId="3" applyNumberFormat="1" applyFont="1" applyFill="1" applyBorder="1" applyAlignment="1">
      <alignment horizontal="center" vertical="center" wrapText="1"/>
    </xf>
    <xf numFmtId="10" fontId="16" fillId="6" borderId="45" xfId="3" applyNumberFormat="1" applyFont="1" applyFill="1" applyBorder="1" applyAlignment="1">
      <alignment horizontal="center" vertical="center" wrapText="1"/>
    </xf>
    <xf numFmtId="10" fontId="16" fillId="6" borderId="19" xfId="0" applyNumberFormat="1" applyFont="1" applyFill="1" applyBorder="1" applyAlignment="1">
      <alignment horizontal="center" vertical="center" wrapText="1" readingOrder="1"/>
    </xf>
    <xf numFmtId="167" fontId="19" fillId="6" borderId="79" xfId="34" applyNumberFormat="1" applyFont="1" applyFill="1" applyBorder="1" applyAlignment="1">
      <alignment vertical="center" wrapText="1"/>
    </xf>
    <xf numFmtId="171" fontId="19" fillId="6" borderId="87" xfId="31" applyNumberFormat="1" applyFont="1" applyFill="1" applyBorder="1" applyAlignment="1">
      <alignment vertical="center" wrapText="1"/>
    </xf>
    <xf numFmtId="171" fontId="19" fillId="6" borderId="84" xfId="31" applyNumberFormat="1" applyFont="1" applyFill="1" applyBorder="1" applyAlignment="1">
      <alignment vertical="center" wrapText="1"/>
    </xf>
    <xf numFmtId="10" fontId="16" fillId="35" borderId="32" xfId="32" applyNumberFormat="1" applyFont="1" applyFill="1" applyBorder="1" applyAlignment="1">
      <alignment horizontal="center" vertical="center" wrapText="1"/>
    </xf>
    <xf numFmtId="10" fontId="16" fillId="35" borderId="80" xfId="33" applyNumberFormat="1" applyFont="1" applyFill="1" applyBorder="1" applyAlignment="1">
      <alignment horizontal="center" vertical="center" wrapText="1"/>
    </xf>
    <xf numFmtId="10" fontId="16" fillId="35" borderId="79" xfId="13" applyNumberFormat="1" applyFont="1" applyFill="1" applyBorder="1" applyAlignment="1">
      <alignment horizontal="center" vertical="center" wrapText="1"/>
    </xf>
    <xf numFmtId="10" fontId="19" fillId="6" borderId="79" xfId="3" applyNumberFormat="1" applyFont="1" applyFill="1" applyBorder="1" applyAlignment="1">
      <alignment horizontal="center" vertical="center"/>
    </xf>
    <xf numFmtId="0" fontId="20" fillId="18" borderId="18" xfId="1" applyFont="1" applyFill="1" applyBorder="1" applyAlignment="1">
      <alignment horizontal="left" vertical="center"/>
    </xf>
    <xf numFmtId="0" fontId="20" fillId="18" borderId="31" xfId="1" applyFont="1" applyFill="1" applyBorder="1" applyAlignment="1">
      <alignment horizontal="left" vertical="center"/>
    </xf>
    <xf numFmtId="0" fontId="19" fillId="18" borderId="19" xfId="1" applyFont="1" applyFill="1" applyBorder="1" applyAlignment="1">
      <alignment horizontal="justify" vertical="center"/>
    </xf>
    <xf numFmtId="0" fontId="19" fillId="18" borderId="32" xfId="1" applyFont="1" applyFill="1" applyBorder="1" applyAlignment="1">
      <alignment horizontal="justify" vertical="center"/>
    </xf>
    <xf numFmtId="9" fontId="20" fillId="20" borderId="19" xfId="3" applyFont="1" applyFill="1" applyBorder="1" applyAlignment="1">
      <alignment horizontal="center"/>
    </xf>
    <xf numFmtId="9" fontId="47" fillId="20" borderId="19" xfId="3" applyFont="1" applyFill="1" applyBorder="1" applyAlignment="1">
      <alignment horizontal="center"/>
    </xf>
    <xf numFmtId="9" fontId="22" fillId="20" borderId="19" xfId="3" applyFont="1" applyFill="1" applyBorder="1" applyAlignment="1">
      <alignment horizontal="center"/>
    </xf>
    <xf numFmtId="167" fontId="61" fillId="6" borderId="79" xfId="34" applyNumberFormat="1" applyFont="1" applyFill="1" applyBorder="1" applyAlignment="1">
      <alignment vertical="center" wrapText="1"/>
    </xf>
    <xf numFmtId="167" fontId="61" fillId="6" borderId="79" xfId="34" applyNumberFormat="1" applyFont="1" applyFill="1" applyBorder="1" applyAlignment="1">
      <alignment horizontal="center" vertical="center" wrapText="1"/>
    </xf>
    <xf numFmtId="167" fontId="62" fillId="57" borderId="79" xfId="34" applyNumberFormat="1" applyFont="1" applyFill="1" applyBorder="1" applyAlignment="1">
      <alignment horizontal="center" vertical="center" wrapText="1"/>
    </xf>
    <xf numFmtId="167" fontId="62" fillId="35" borderId="79" xfId="34" applyNumberFormat="1" applyFont="1" applyFill="1" applyBorder="1" applyAlignment="1">
      <alignment horizontal="center" vertical="center" wrapText="1"/>
    </xf>
    <xf numFmtId="167" fontId="16" fillId="35" borderId="79" xfId="34" applyNumberFormat="1" applyFont="1" applyFill="1" applyBorder="1" applyAlignment="1">
      <alignment horizontal="center" vertical="center" wrapText="1"/>
    </xf>
    <xf numFmtId="0" fontId="19" fillId="37" borderId="19" xfId="1" applyFont="1" applyFill="1" applyBorder="1" applyAlignment="1">
      <alignment horizontal="center" vertical="center"/>
    </xf>
    <xf numFmtId="0" fontId="19" fillId="37" borderId="32" xfId="1" applyFont="1" applyFill="1" applyBorder="1" applyAlignment="1">
      <alignment horizontal="center" vertical="center"/>
    </xf>
    <xf numFmtId="0" fontId="12" fillId="6" borderId="55" xfId="1" applyFont="1" applyFill="1" applyBorder="1" applyAlignment="1">
      <alignment horizontal="center" vertical="center" wrapText="1"/>
    </xf>
    <xf numFmtId="0" fontId="12" fillId="6" borderId="72" xfId="1" applyFont="1" applyFill="1" applyBorder="1" applyAlignment="1">
      <alignment horizontal="center" vertical="center" wrapText="1"/>
    </xf>
    <xf numFmtId="0" fontId="12" fillId="6" borderId="38" xfId="1" applyFont="1" applyFill="1" applyBorder="1" applyAlignment="1">
      <alignment horizontal="center" vertical="center" wrapText="1"/>
    </xf>
    <xf numFmtId="165" fontId="62" fillId="6" borderId="79" xfId="1" applyNumberFormat="1" applyFont="1" applyFill="1" applyBorder="1" applyAlignment="1">
      <alignment horizontal="center" vertical="center" wrapText="1"/>
    </xf>
    <xf numFmtId="165" fontId="61" fillId="6" borderId="79" xfId="1" applyNumberFormat="1" applyFont="1" applyFill="1" applyBorder="1" applyAlignment="1">
      <alignment horizontal="center" vertical="center" wrapText="1"/>
    </xf>
    <xf numFmtId="10" fontId="61" fillId="6" borderId="79" xfId="1" applyNumberFormat="1" applyFont="1" applyFill="1" applyBorder="1" applyAlignment="1">
      <alignment horizontal="center" vertical="center" wrapText="1"/>
    </xf>
    <xf numFmtId="10" fontId="62" fillId="35" borderId="87" xfId="3" applyNumberFormat="1" applyFont="1" applyFill="1" applyBorder="1" applyAlignment="1">
      <alignment horizontal="center" vertical="center" wrapText="1"/>
    </xf>
    <xf numFmtId="10" fontId="62" fillId="35" borderId="84" xfId="3" applyNumberFormat="1" applyFont="1" applyFill="1" applyBorder="1" applyAlignment="1">
      <alignment horizontal="center" vertical="center" wrapText="1"/>
    </xf>
    <xf numFmtId="10" fontId="16" fillId="35" borderId="87" xfId="3" applyNumberFormat="1" applyFont="1" applyFill="1" applyBorder="1" applyAlignment="1">
      <alignment horizontal="center" vertical="center" wrapText="1"/>
    </xf>
    <xf numFmtId="10" fontId="16" fillId="35" borderId="84" xfId="3" applyNumberFormat="1" applyFont="1" applyFill="1" applyBorder="1" applyAlignment="1">
      <alignment horizontal="center" vertical="center" wrapText="1"/>
    </xf>
    <xf numFmtId="9" fontId="62" fillId="6" borderId="32" xfId="32" applyFont="1" applyFill="1" applyBorder="1" applyAlignment="1">
      <alignment horizontal="center" vertical="center" wrapText="1"/>
    </xf>
    <xf numFmtId="10" fontId="62" fillId="57" borderId="32" xfId="32" applyNumberFormat="1" applyFont="1" applyFill="1" applyBorder="1" applyAlignment="1">
      <alignment horizontal="center" vertical="center" wrapText="1"/>
    </xf>
    <xf numFmtId="10" fontId="62" fillId="35" borderId="32" xfId="32" applyNumberFormat="1" applyFont="1" applyFill="1" applyBorder="1" applyAlignment="1">
      <alignment horizontal="center" vertical="center" wrapText="1"/>
    </xf>
    <xf numFmtId="167" fontId="62" fillId="6" borderId="80" xfId="33" applyNumberFormat="1" applyFont="1" applyFill="1" applyBorder="1" applyAlignment="1">
      <alignment horizontal="center" vertical="center" wrapText="1"/>
    </xf>
    <xf numFmtId="167" fontId="62" fillId="57" borderId="80" xfId="33" applyNumberFormat="1" applyFont="1" applyFill="1" applyBorder="1" applyAlignment="1">
      <alignment horizontal="center" vertical="center" wrapText="1"/>
    </xf>
    <xf numFmtId="10" fontId="62" fillId="35" borderId="80" xfId="33" applyNumberFormat="1" applyFont="1" applyFill="1" applyBorder="1" applyAlignment="1">
      <alignment horizontal="center" vertical="center" wrapText="1"/>
    </xf>
    <xf numFmtId="10" fontId="62" fillId="35" borderId="79" xfId="13" applyNumberFormat="1" applyFont="1" applyFill="1" applyBorder="1" applyAlignment="1">
      <alignment horizontal="center" vertical="center" wrapText="1"/>
    </xf>
    <xf numFmtId="165" fontId="62" fillId="6" borderId="83" xfId="1" applyNumberFormat="1" applyFont="1" applyFill="1" applyBorder="1" applyAlignment="1">
      <alignment horizontal="center" vertical="center" wrapText="1"/>
    </xf>
    <xf numFmtId="165" fontId="61" fillId="6" borderId="83" xfId="1" applyNumberFormat="1" applyFont="1" applyFill="1" applyBorder="1" applyAlignment="1">
      <alignment horizontal="center" vertical="center" wrapText="1"/>
    </xf>
    <xf numFmtId="10" fontId="61" fillId="6" borderId="83" xfId="1" applyNumberFormat="1" applyFont="1" applyFill="1" applyBorder="1" applyAlignment="1">
      <alignment horizontal="center" vertical="center" wrapText="1"/>
    </xf>
    <xf numFmtId="167" fontId="61" fillId="6" borderId="83" xfId="34" applyNumberFormat="1" applyFont="1" applyFill="1" applyBorder="1" applyAlignment="1">
      <alignment horizontal="center" vertical="center" wrapText="1"/>
    </xf>
    <xf numFmtId="167" fontId="62" fillId="6" borderId="79" xfId="13" applyNumberFormat="1" applyFont="1" applyFill="1" applyBorder="1" applyAlignment="1">
      <alignment horizontal="center" vertical="center" wrapText="1"/>
    </xf>
    <xf numFmtId="167" fontId="62" fillId="57" borderId="79" xfId="13" applyNumberFormat="1" applyFont="1" applyFill="1" applyBorder="1" applyAlignment="1">
      <alignment horizontal="center" vertical="center" wrapText="1"/>
    </xf>
    <xf numFmtId="10" fontId="62" fillId="35" borderId="79" xfId="3" applyNumberFormat="1" applyFont="1" applyFill="1" applyBorder="1" applyAlignment="1">
      <alignment horizontal="center" vertical="center"/>
    </xf>
    <xf numFmtId="10" fontId="16" fillId="35" borderId="79" xfId="3" applyNumberFormat="1" applyFont="1" applyFill="1" applyBorder="1" applyAlignment="1">
      <alignment horizontal="center" vertical="center"/>
    </xf>
    <xf numFmtId="9" fontId="61" fillId="6" borderId="79" xfId="3" applyFont="1" applyFill="1" applyBorder="1" applyAlignment="1">
      <alignment horizontal="center" vertical="center"/>
    </xf>
    <xf numFmtId="9" fontId="62" fillId="57" borderId="79" xfId="3" applyFont="1" applyFill="1" applyBorder="1" applyAlignment="1">
      <alignment horizontal="center" vertical="center"/>
    </xf>
    <xf numFmtId="10" fontId="62" fillId="35" borderId="79" xfId="3" applyNumberFormat="1" applyFont="1" applyFill="1" applyBorder="1" applyAlignment="1">
      <alignment horizontal="center" vertical="center" wrapText="1"/>
    </xf>
    <xf numFmtId="10" fontId="16" fillId="35" borderId="79" xfId="3" applyNumberFormat="1" applyFont="1" applyFill="1" applyBorder="1" applyAlignment="1">
      <alignment horizontal="center" vertical="center" wrapText="1"/>
    </xf>
    <xf numFmtId="10" fontId="62" fillId="57" borderId="79" xfId="3" applyNumberFormat="1" applyFont="1" applyFill="1" applyBorder="1" applyAlignment="1">
      <alignment horizontal="center" vertical="center" wrapText="1"/>
    </xf>
    <xf numFmtId="10" fontId="62" fillId="57" borderId="79" xfId="3" applyNumberFormat="1" applyFont="1" applyFill="1" applyBorder="1" applyAlignment="1">
      <alignment horizontal="center" vertical="center"/>
    </xf>
    <xf numFmtId="165" fontId="62" fillId="6" borderId="79" xfId="3" applyNumberFormat="1" applyFont="1" applyFill="1" applyBorder="1" applyAlignment="1">
      <alignment horizontal="center" vertical="center" wrapText="1"/>
    </xf>
    <xf numFmtId="10" fontId="62" fillId="6" borderId="79" xfId="3" applyNumberFormat="1" applyFont="1" applyFill="1" applyBorder="1" applyAlignment="1">
      <alignment horizontal="center" vertical="center"/>
    </xf>
    <xf numFmtId="9" fontId="62" fillId="6" borderId="79" xfId="3" applyFont="1" applyFill="1" applyBorder="1" applyAlignment="1">
      <alignment horizontal="center" vertical="center"/>
    </xf>
    <xf numFmtId="10" fontId="62" fillId="35" borderId="4" xfId="3" applyNumberFormat="1" applyFont="1" applyFill="1" applyBorder="1" applyAlignment="1">
      <alignment horizontal="center" vertical="center"/>
    </xf>
    <xf numFmtId="10" fontId="62" fillId="35" borderId="45" xfId="3" applyNumberFormat="1" applyFont="1" applyFill="1" applyBorder="1" applyAlignment="1">
      <alignment horizontal="center" vertical="center"/>
    </xf>
    <xf numFmtId="10" fontId="16" fillId="35" borderId="4" xfId="3" applyNumberFormat="1" applyFont="1" applyFill="1" applyBorder="1" applyAlignment="1">
      <alignment horizontal="center" vertical="center" wrapText="1"/>
    </xf>
    <xf numFmtId="10" fontId="16" fillId="35" borderId="45" xfId="3" applyNumberFormat="1" applyFont="1" applyFill="1" applyBorder="1" applyAlignment="1">
      <alignment horizontal="center" vertical="center" wrapText="1"/>
    </xf>
    <xf numFmtId="9" fontId="62" fillId="30" borderId="19" xfId="0" applyNumberFormat="1" applyFont="1" applyFill="1" applyBorder="1" applyAlignment="1">
      <alignment horizontal="center" vertical="center" wrapText="1" readingOrder="1"/>
    </xf>
    <xf numFmtId="0" fontId="62" fillId="30" borderId="19" xfId="0" applyFont="1" applyFill="1" applyBorder="1" applyAlignment="1">
      <alignment horizontal="center" vertical="center" wrapText="1" readingOrder="1"/>
    </xf>
    <xf numFmtId="10" fontId="62" fillId="57" borderId="19" xfId="0" applyNumberFormat="1" applyFont="1" applyFill="1" applyBorder="1" applyAlignment="1">
      <alignment horizontal="center" vertical="center" wrapText="1" readingOrder="1"/>
    </xf>
    <xf numFmtId="10" fontId="62" fillId="35" borderId="19" xfId="0" applyNumberFormat="1" applyFont="1" applyFill="1" applyBorder="1" applyAlignment="1">
      <alignment horizontal="center" vertical="center" wrapText="1" readingOrder="1"/>
    </xf>
    <xf numFmtId="10" fontId="16" fillId="35" borderId="19" xfId="0" applyNumberFormat="1" applyFont="1" applyFill="1" applyBorder="1" applyAlignment="1">
      <alignment horizontal="center" vertical="center" wrapText="1" readingOrder="1"/>
    </xf>
    <xf numFmtId="9" fontId="62" fillId="6" borderId="79" xfId="1" applyNumberFormat="1" applyFont="1" applyFill="1" applyBorder="1" applyAlignment="1">
      <alignment horizontal="center" vertical="center" wrapText="1"/>
    </xf>
    <xf numFmtId="10" fontId="62" fillId="30" borderId="79" xfId="0" applyNumberFormat="1" applyFont="1" applyFill="1" applyBorder="1" applyAlignment="1">
      <alignment horizontal="center" vertical="center" wrapText="1" readingOrder="1"/>
    </xf>
    <xf numFmtId="0" fontId="62" fillId="30" borderId="19" xfId="0" applyFont="1" applyFill="1" applyBorder="1" applyAlignment="1">
      <alignment horizontal="center" wrapText="1" readingOrder="1"/>
    </xf>
    <xf numFmtId="9" fontId="62" fillId="6" borderId="79" xfId="0" applyNumberFormat="1" applyFont="1" applyFill="1" applyBorder="1" applyAlignment="1">
      <alignment horizontal="center" vertical="center" wrapText="1" readingOrder="1"/>
    </xf>
    <xf numFmtId="9" fontId="62" fillId="30" borderId="79" xfId="0" applyNumberFormat="1" applyFont="1" applyFill="1" applyBorder="1" applyAlignment="1">
      <alignment horizontal="center" vertical="center" wrapText="1" readingOrder="1"/>
    </xf>
    <xf numFmtId="165" fontId="62" fillId="57" borderId="79" xfId="0" applyNumberFormat="1" applyFont="1" applyFill="1" applyBorder="1" applyAlignment="1">
      <alignment horizontal="center" vertical="center" wrapText="1" readingOrder="1"/>
    </xf>
    <xf numFmtId="10" fontId="62" fillId="35" borderId="79" xfId="0" applyNumberFormat="1" applyFont="1" applyFill="1" applyBorder="1" applyAlignment="1">
      <alignment horizontal="center" vertical="center" wrapText="1" readingOrder="1"/>
    </xf>
    <xf numFmtId="10" fontId="16" fillId="35" borderId="79" xfId="0" applyNumberFormat="1" applyFont="1" applyFill="1" applyBorder="1" applyAlignment="1">
      <alignment horizontal="center" vertical="center" wrapText="1" readingOrder="1"/>
    </xf>
    <xf numFmtId="0" fontId="20" fillId="6" borderId="18" xfId="1" applyFont="1" applyFill="1" applyBorder="1" applyAlignment="1">
      <alignment horizontal="left" vertical="center" wrapText="1"/>
    </xf>
    <xf numFmtId="0" fontId="20" fillId="6" borderId="6" xfId="1" applyFont="1" applyFill="1" applyBorder="1" applyAlignment="1">
      <alignment horizontal="left" vertical="center" wrapText="1"/>
    </xf>
    <xf numFmtId="0" fontId="20" fillId="6" borderId="31" xfId="1" applyFont="1" applyFill="1" applyBorder="1" applyAlignment="1">
      <alignment horizontal="left" vertical="center" wrapText="1"/>
    </xf>
    <xf numFmtId="165" fontId="61" fillId="6" borderId="79" xfId="3" applyNumberFormat="1" applyFont="1" applyFill="1" applyBorder="1" applyAlignment="1">
      <alignment horizontal="center" vertical="center" wrapText="1"/>
    </xf>
    <xf numFmtId="165" fontId="61" fillId="57" borderId="79" xfId="3" applyNumberFormat="1" applyFont="1" applyFill="1" applyBorder="1" applyAlignment="1">
      <alignment horizontal="center" vertical="center" wrapText="1"/>
    </xf>
    <xf numFmtId="10" fontId="61" fillId="35" borderId="79" xfId="3" applyNumberFormat="1" applyFont="1" applyFill="1" applyBorder="1" applyAlignment="1">
      <alignment horizontal="center" vertical="center" wrapText="1"/>
    </xf>
    <xf numFmtId="10" fontId="12" fillId="35" borderId="79" xfId="3" applyNumberFormat="1" applyFont="1" applyFill="1" applyBorder="1" applyAlignment="1">
      <alignment horizontal="center" vertical="center" wrapText="1"/>
    </xf>
    <xf numFmtId="165" fontId="62" fillId="6" borderId="79" xfId="0" applyNumberFormat="1" applyFont="1" applyFill="1" applyBorder="1" applyAlignment="1">
      <alignment horizontal="center" vertical="center" wrapText="1" readingOrder="1"/>
    </xf>
    <xf numFmtId="165" fontId="62" fillId="30" borderId="79" xfId="0" applyNumberFormat="1" applyFont="1" applyFill="1" applyBorder="1" applyAlignment="1">
      <alignment horizontal="center" vertical="center" wrapText="1" readingOrder="1"/>
    </xf>
    <xf numFmtId="10" fontId="62" fillId="57" borderId="79" xfId="0" applyNumberFormat="1" applyFont="1" applyFill="1" applyBorder="1" applyAlignment="1">
      <alignment horizontal="center" vertical="center" wrapText="1" readingOrder="1"/>
    </xf>
    <xf numFmtId="10" fontId="61" fillId="35" borderId="80" xfId="3" applyNumberFormat="1" applyFont="1" applyFill="1" applyBorder="1" applyAlignment="1">
      <alignment horizontal="center" vertical="center" wrapText="1"/>
    </xf>
    <xf numFmtId="10" fontId="12" fillId="35" borderId="80" xfId="3" applyNumberFormat="1" applyFont="1" applyFill="1" applyBorder="1" applyAlignment="1">
      <alignment horizontal="center" vertical="center" wrapText="1"/>
    </xf>
    <xf numFmtId="0" fontId="20" fillId="6" borderId="85" xfId="1" applyFont="1" applyFill="1" applyBorder="1" applyAlignment="1">
      <alignment horizontal="left" vertical="center" wrapText="1"/>
    </xf>
    <xf numFmtId="0" fontId="20" fillId="6" borderId="82" xfId="1" applyFont="1" applyFill="1" applyBorder="1" applyAlignment="1">
      <alignment horizontal="left" vertical="center" wrapText="1"/>
    </xf>
    <xf numFmtId="165" fontId="61" fillId="6" borderId="80" xfId="3" applyNumberFormat="1" applyFont="1" applyFill="1" applyBorder="1" applyAlignment="1">
      <alignment horizontal="center" vertical="center" wrapText="1"/>
    </xf>
    <xf numFmtId="9" fontId="61" fillId="6" borderId="79" xfId="1" applyNumberFormat="1" applyFont="1" applyFill="1" applyBorder="1" applyAlignment="1">
      <alignment horizontal="center" vertical="center" wrapText="1"/>
    </xf>
    <xf numFmtId="9" fontId="62" fillId="6" borderId="83" xfId="1" applyNumberFormat="1" applyFont="1" applyFill="1" applyBorder="1" applyAlignment="1">
      <alignment horizontal="center" vertical="center" wrapText="1"/>
    </xf>
    <xf numFmtId="165" fontId="62" fillId="6" borderId="83" xfId="3" applyNumberFormat="1" applyFont="1" applyFill="1" applyBorder="1" applyAlignment="1">
      <alignment horizontal="center" vertical="center" wrapText="1"/>
    </xf>
    <xf numFmtId="9" fontId="62" fillId="0" borderId="79" xfId="0" applyNumberFormat="1" applyFont="1" applyBorder="1" applyAlignment="1">
      <alignment horizontal="center" vertical="center" wrapText="1" readingOrder="1"/>
    </xf>
    <xf numFmtId="9" fontId="62" fillId="57" borderId="79" xfId="0" applyNumberFormat="1" applyFont="1" applyFill="1" applyBorder="1" applyAlignment="1">
      <alignment horizontal="center" vertical="center" wrapText="1" readingOrder="1"/>
    </xf>
    <xf numFmtId="9" fontId="62" fillId="0" borderId="80" xfId="0" applyNumberFormat="1" applyFont="1" applyBorder="1" applyAlignment="1">
      <alignment horizontal="center" vertical="center" wrapText="1" readingOrder="1"/>
    </xf>
    <xf numFmtId="9" fontId="62" fillId="57" borderId="80" xfId="0" applyNumberFormat="1" applyFont="1" applyFill="1" applyBorder="1" applyAlignment="1">
      <alignment horizontal="center" vertical="center" wrapText="1" readingOrder="1"/>
    </xf>
    <xf numFmtId="0" fontId="20" fillId="6" borderId="30" xfId="1" applyFont="1" applyFill="1" applyBorder="1" applyAlignment="1">
      <alignment horizontal="left" vertical="center" wrapText="1"/>
    </xf>
    <xf numFmtId="0" fontId="20" fillId="6" borderId="59" xfId="1" applyFont="1" applyFill="1" applyBorder="1" applyAlignment="1">
      <alignment horizontal="left" vertical="center" wrapText="1"/>
    </xf>
    <xf numFmtId="0" fontId="20" fillId="6" borderId="60" xfId="1" applyFont="1" applyFill="1" applyBorder="1" applyAlignment="1">
      <alignment horizontal="left" vertical="center" wrapText="1"/>
    </xf>
    <xf numFmtId="165" fontId="61" fillId="6" borderId="19" xfId="3" applyNumberFormat="1" applyFont="1" applyFill="1" applyBorder="1" applyAlignment="1">
      <alignment horizontal="center" vertical="center" wrapText="1"/>
    </xf>
    <xf numFmtId="165" fontId="61" fillId="6" borderId="57" xfId="3" applyNumberFormat="1" applyFont="1" applyFill="1" applyBorder="1" applyAlignment="1">
      <alignment horizontal="center" vertical="center" wrapText="1"/>
    </xf>
    <xf numFmtId="9" fontId="62" fillId="30" borderId="57" xfId="0" applyNumberFormat="1" applyFont="1" applyFill="1" applyBorder="1" applyAlignment="1">
      <alignment horizontal="center" vertical="center" wrapText="1" readingOrder="1"/>
    </xf>
    <xf numFmtId="9" fontId="62" fillId="57" borderId="57" xfId="0" applyNumberFormat="1" applyFont="1" applyFill="1" applyBorder="1" applyAlignment="1">
      <alignment horizontal="center" vertical="center" wrapText="1" readingOrder="1"/>
    </xf>
    <xf numFmtId="10" fontId="62" fillId="35" borderId="57" xfId="0" applyNumberFormat="1" applyFont="1" applyFill="1" applyBorder="1" applyAlignment="1">
      <alignment horizontal="center" vertical="center" wrapText="1" readingOrder="1"/>
    </xf>
    <xf numFmtId="9" fontId="62" fillId="30" borderId="105" xfId="0" applyNumberFormat="1" applyFont="1" applyFill="1" applyBorder="1" applyAlignment="1">
      <alignment horizontal="center" vertical="center" wrapText="1" readingOrder="1"/>
    </xf>
    <xf numFmtId="9" fontId="62" fillId="57" borderId="105" xfId="0" applyNumberFormat="1" applyFont="1" applyFill="1" applyBorder="1" applyAlignment="1">
      <alignment horizontal="center" vertical="center" wrapText="1" readingOrder="1"/>
    </xf>
    <xf numFmtId="10" fontId="62" fillId="35" borderId="105" xfId="0" applyNumberFormat="1" applyFont="1" applyFill="1" applyBorder="1" applyAlignment="1">
      <alignment horizontal="center" vertical="center" wrapText="1" readingOrder="1"/>
    </xf>
    <xf numFmtId="0" fontId="37" fillId="49" borderId="55" xfId="0" applyFont="1" applyFill="1" applyBorder="1" applyAlignment="1">
      <alignment horizontal="justify" vertical="center"/>
    </xf>
    <xf numFmtId="0" fontId="37" fillId="49" borderId="77" xfId="0" applyFont="1" applyFill="1" applyBorder="1" applyAlignment="1">
      <alignment horizontal="justify" vertical="center"/>
    </xf>
    <xf numFmtId="171" fontId="61" fillId="35" borderId="87" xfId="31" applyNumberFormat="1" applyFont="1" applyFill="1" applyBorder="1" applyAlignment="1">
      <alignment horizontal="center" vertical="center" wrapText="1"/>
    </xf>
    <xf numFmtId="171" fontId="61" fillId="35" borderId="84" xfId="31" applyNumberFormat="1" applyFont="1" applyFill="1" applyBorder="1" applyAlignment="1">
      <alignment horizontal="center" vertical="center" wrapText="1"/>
    </xf>
    <xf numFmtId="10" fontId="12" fillId="35" borderId="87" xfId="19" applyNumberFormat="1" applyFont="1" applyFill="1" applyBorder="1" applyAlignment="1">
      <alignment horizontal="center" vertical="center" wrapText="1"/>
    </xf>
    <xf numFmtId="10" fontId="12" fillId="35" borderId="84" xfId="19" applyNumberFormat="1" applyFont="1" applyFill="1" applyBorder="1" applyAlignment="1">
      <alignment horizontal="center" vertical="center" wrapText="1"/>
    </xf>
    <xf numFmtId="0" fontId="188" fillId="6" borderId="6" xfId="1" applyFont="1" applyFill="1" applyBorder="1" applyAlignment="1">
      <alignment horizontal="left" vertical="center" wrapText="1"/>
    </xf>
    <xf numFmtId="0" fontId="188" fillId="6" borderId="31" xfId="1" applyFont="1" applyFill="1" applyBorder="1" applyAlignment="1">
      <alignment horizontal="left" vertical="center" wrapText="1"/>
    </xf>
    <xf numFmtId="165" fontId="61" fillId="6" borderId="32" xfId="3" applyNumberFormat="1" applyFont="1" applyFill="1" applyBorder="1" applyAlignment="1">
      <alignment horizontal="center" vertical="center" wrapText="1"/>
    </xf>
    <xf numFmtId="0" fontId="20" fillId="6" borderId="82" xfId="1" applyFont="1" applyFill="1" applyBorder="1" applyAlignment="1">
      <alignment horizontal="center" vertical="center" wrapText="1"/>
    </xf>
    <xf numFmtId="0" fontId="20" fillId="6" borderId="16" xfId="1" applyFont="1" applyFill="1" applyBorder="1" applyAlignment="1">
      <alignment horizontal="center" vertical="center" wrapText="1"/>
    </xf>
    <xf numFmtId="0" fontId="20" fillId="6" borderId="85" xfId="1" applyFont="1" applyFill="1" applyBorder="1" applyAlignment="1">
      <alignment horizontal="center" vertical="center" wrapText="1"/>
    </xf>
    <xf numFmtId="0" fontId="194" fillId="13" borderId="41" xfId="7" applyFont="1" applyFill="1" applyBorder="1" applyAlignment="1">
      <alignment horizontal="justify" vertical="center" wrapText="1"/>
    </xf>
    <xf numFmtId="0" fontId="194" fillId="13" borderId="42" xfId="7" applyFont="1" applyFill="1" applyBorder="1" applyAlignment="1">
      <alignment horizontal="justify" vertical="center" wrapText="1"/>
    </xf>
    <xf numFmtId="0" fontId="194" fillId="13" borderId="43" xfId="7" applyFont="1" applyFill="1" applyBorder="1" applyAlignment="1">
      <alignment horizontal="justify" vertical="center" wrapText="1"/>
    </xf>
    <xf numFmtId="0" fontId="10" fillId="0" borderId="36" xfId="1" applyBorder="1" applyAlignment="1">
      <alignment horizontal="center" vertical="center"/>
    </xf>
    <xf numFmtId="0" fontId="209" fillId="58" borderId="79" xfId="0" applyFont="1" applyFill="1" applyBorder="1" applyAlignment="1">
      <alignment horizontal="center" vertical="center" wrapText="1" readingOrder="1"/>
    </xf>
    <xf numFmtId="0" fontId="12" fillId="6" borderId="14" xfId="1" applyFont="1" applyFill="1" applyBorder="1" applyAlignment="1">
      <alignment horizontal="center" vertical="center" wrapText="1"/>
    </xf>
    <xf numFmtId="0" fontId="12" fillId="6" borderId="16" xfId="1" applyFont="1" applyFill="1" applyBorder="1" applyAlignment="1">
      <alignment horizontal="center" vertical="center" wrapText="1"/>
    </xf>
    <xf numFmtId="10" fontId="16" fillId="6" borderId="32" xfId="3" applyNumberFormat="1" applyFont="1" applyFill="1" applyBorder="1" applyAlignment="1">
      <alignment horizontal="center" vertical="center" wrapText="1"/>
    </xf>
    <xf numFmtId="10" fontId="61" fillId="35" borderId="19" xfId="3" applyNumberFormat="1" applyFont="1" applyFill="1" applyBorder="1" applyAlignment="1">
      <alignment horizontal="center" vertical="center" wrapText="1"/>
    </xf>
    <xf numFmtId="10" fontId="12" fillId="35" borderId="19" xfId="3" applyNumberFormat="1" applyFont="1" applyFill="1" applyBorder="1" applyAlignment="1">
      <alignment horizontal="center" vertical="center" wrapText="1"/>
    </xf>
    <xf numFmtId="9" fontId="61" fillId="6" borderId="105" xfId="1" applyNumberFormat="1" applyFont="1" applyFill="1" applyBorder="1" applyAlignment="1">
      <alignment horizontal="center" vertical="center" wrapText="1"/>
    </xf>
    <xf numFmtId="165" fontId="61" fillId="6" borderId="105" xfId="3" applyNumberFormat="1" applyFont="1" applyFill="1" applyBorder="1" applyAlignment="1">
      <alignment horizontal="center" vertical="center" wrapText="1"/>
    </xf>
    <xf numFmtId="165" fontId="61" fillId="57" borderId="19" xfId="3" applyNumberFormat="1" applyFont="1" applyFill="1" applyBorder="1" applyAlignment="1">
      <alignment horizontal="center" vertical="center" wrapText="1"/>
    </xf>
    <xf numFmtId="0" fontId="12" fillId="6" borderId="34" xfId="1" applyFont="1" applyFill="1" applyBorder="1" applyAlignment="1">
      <alignment horizontal="center" vertical="center" wrapText="1"/>
    </xf>
    <xf numFmtId="0" fontId="22" fillId="0" borderId="80" xfId="1" applyFont="1" applyBorder="1" applyAlignment="1">
      <alignment horizontal="justify" vertical="center"/>
    </xf>
    <xf numFmtId="0" fontId="62" fillId="0" borderId="79" xfId="1" applyFont="1" applyBorder="1" applyAlignment="1">
      <alignment horizontal="center" vertical="center"/>
    </xf>
    <xf numFmtId="165" fontId="61" fillId="57" borderId="80" xfId="3" applyNumberFormat="1" applyFont="1" applyFill="1" applyBorder="1" applyAlignment="1">
      <alignment horizontal="center" vertical="center" wrapText="1"/>
    </xf>
    <xf numFmtId="10" fontId="16" fillId="35" borderId="57" xfId="0" applyNumberFormat="1" applyFont="1" applyFill="1" applyBorder="1" applyAlignment="1">
      <alignment horizontal="center" vertical="center" wrapText="1" readingOrder="1"/>
    </xf>
    <xf numFmtId="0" fontId="20" fillId="6" borderId="18" xfId="1" applyFont="1" applyFill="1" applyBorder="1" applyAlignment="1">
      <alignment horizontal="center" vertical="center" wrapText="1"/>
    </xf>
    <xf numFmtId="0" fontId="20" fillId="6" borderId="6" xfId="1" applyFont="1" applyFill="1" applyBorder="1" applyAlignment="1">
      <alignment horizontal="center" vertical="center" wrapText="1"/>
    </xf>
    <xf numFmtId="0" fontId="20" fillId="6" borderId="31" xfId="1" applyFont="1" applyFill="1" applyBorder="1" applyAlignment="1">
      <alignment horizontal="center" vertical="center" wrapText="1"/>
    </xf>
    <xf numFmtId="10" fontId="16" fillId="35" borderId="32" xfId="3" applyNumberFormat="1" applyFont="1" applyFill="1" applyBorder="1" applyAlignment="1">
      <alignment horizontal="center" vertical="center" wrapText="1"/>
    </xf>
    <xf numFmtId="10" fontId="16" fillId="35" borderId="105" xfId="0" applyNumberFormat="1" applyFont="1" applyFill="1" applyBorder="1" applyAlignment="1">
      <alignment horizontal="center" vertical="center" wrapText="1" readingOrder="1"/>
    </xf>
    <xf numFmtId="165" fontId="101" fillId="13" borderId="79" xfId="0" applyNumberFormat="1" applyFont="1" applyFill="1" applyBorder="1" applyAlignment="1">
      <alignment horizontal="center" vertical="center" wrapText="1" readingOrder="1"/>
    </xf>
    <xf numFmtId="165" fontId="85" fillId="6" borderId="79" xfId="3" applyNumberFormat="1" applyFont="1" applyFill="1" applyBorder="1" applyAlignment="1">
      <alignment horizontal="center" vertical="center" wrapText="1"/>
    </xf>
    <xf numFmtId="9" fontId="87" fillId="0" borderId="79" xfId="0" applyNumberFormat="1" applyFont="1" applyBorder="1" applyAlignment="1">
      <alignment horizontal="center" vertical="center" wrapText="1" readingOrder="1"/>
    </xf>
    <xf numFmtId="9" fontId="87" fillId="30" borderId="79" xfId="0" applyNumberFormat="1" applyFont="1" applyFill="1" applyBorder="1" applyAlignment="1">
      <alignment horizontal="center" vertical="center" wrapText="1" readingOrder="1"/>
    </xf>
    <xf numFmtId="9" fontId="36" fillId="25" borderId="23" xfId="3" applyFont="1" applyFill="1" applyBorder="1" applyAlignment="1">
      <alignment horizontal="center" vertical="center" wrapText="1"/>
    </xf>
    <xf numFmtId="9" fontId="36" fillId="25" borderId="24" xfId="3" applyFont="1" applyFill="1" applyBorder="1" applyAlignment="1">
      <alignment horizontal="center" vertical="center" wrapText="1"/>
    </xf>
    <xf numFmtId="0" fontId="56" fillId="0" borderId="0" xfId="10" applyFont="1" applyAlignment="1">
      <alignment horizontal="center" vertical="center" wrapText="1"/>
    </xf>
    <xf numFmtId="167" fontId="85" fillId="6" borderId="79" xfId="15" applyNumberFormat="1" applyFont="1" applyFill="1" applyBorder="1" applyAlignment="1">
      <alignment horizontal="center" vertical="center" wrapText="1"/>
    </xf>
    <xf numFmtId="9" fontId="72" fillId="6" borderId="79" xfId="11" applyFont="1" applyFill="1" applyBorder="1" applyAlignment="1">
      <alignment horizontal="center" vertical="center" wrapText="1"/>
    </xf>
    <xf numFmtId="167" fontId="87" fillId="6" borderId="79" xfId="14" applyNumberFormat="1" applyFont="1" applyFill="1" applyBorder="1" applyAlignment="1">
      <alignment horizontal="center" vertical="center" wrapText="1"/>
    </xf>
    <xf numFmtId="167" fontId="87" fillId="13" borderId="79" xfId="13" applyNumberFormat="1" applyFont="1" applyFill="1" applyBorder="1" applyAlignment="1">
      <alignment horizontal="center" vertical="center" wrapText="1"/>
    </xf>
    <xf numFmtId="167" fontId="87" fillId="6" borderId="79" xfId="13" applyNumberFormat="1" applyFont="1" applyFill="1" applyBorder="1" applyAlignment="1">
      <alignment horizontal="center" vertical="center" wrapText="1"/>
    </xf>
    <xf numFmtId="9" fontId="45" fillId="6" borderId="79" xfId="3" applyFont="1" applyFill="1" applyBorder="1" applyAlignment="1">
      <alignment horizontal="center" vertical="center"/>
    </xf>
    <xf numFmtId="9" fontId="85" fillId="6" borderId="79" xfId="3" applyFont="1" applyFill="1" applyBorder="1" applyAlignment="1">
      <alignment horizontal="center" vertical="center" wrapText="1"/>
    </xf>
    <xf numFmtId="9" fontId="45" fillId="6" borderId="79" xfId="3" applyFont="1" applyFill="1" applyBorder="1" applyAlignment="1">
      <alignment horizontal="center" vertical="center" wrapText="1"/>
    </xf>
    <xf numFmtId="9" fontId="72" fillId="6" borderId="79" xfId="3" applyFont="1" applyFill="1" applyBorder="1" applyAlignment="1">
      <alignment horizontal="center" vertical="center"/>
    </xf>
    <xf numFmtId="165" fontId="101" fillId="30" borderId="79" xfId="0" applyNumberFormat="1" applyFont="1" applyFill="1" applyBorder="1" applyAlignment="1">
      <alignment horizontal="center" vertical="center" wrapText="1" readingOrder="1"/>
    </xf>
    <xf numFmtId="165" fontId="45" fillId="56" borderId="83" xfId="5" applyNumberFormat="1" applyFont="1" applyFill="1" applyBorder="1" applyAlignment="1">
      <alignment horizontal="center" vertical="center"/>
    </xf>
    <xf numFmtId="165" fontId="45" fillId="56" borderId="80" xfId="5" applyNumberFormat="1" applyFont="1" applyFill="1" applyBorder="1" applyAlignment="1">
      <alignment horizontal="center" vertical="center"/>
    </xf>
    <xf numFmtId="0" fontId="22" fillId="0" borderId="92" xfId="1" applyFont="1" applyBorder="1" applyAlignment="1">
      <alignment horizontal="center" vertical="center"/>
    </xf>
    <xf numFmtId="0" fontId="22" fillId="0" borderId="89" xfId="1" applyFont="1" applyBorder="1" applyAlignment="1">
      <alignment horizontal="center" vertical="center"/>
    </xf>
    <xf numFmtId="169" fontId="90" fillId="0" borderId="79" xfId="17" applyNumberFormat="1" applyFont="1" applyBorder="1" applyAlignment="1">
      <alignment horizontal="justify" vertical="center" wrapText="1"/>
    </xf>
    <xf numFmtId="169" fontId="16" fillId="0" borderId="79" xfId="17" applyNumberFormat="1" applyFont="1" applyBorder="1" applyAlignment="1">
      <alignment horizontal="justify" vertical="center" wrapText="1"/>
    </xf>
    <xf numFmtId="169" fontId="106" fillId="0" borderId="79" xfId="17" applyNumberFormat="1" applyFont="1" applyBorder="1" applyAlignment="1">
      <alignment horizontal="justify" vertical="center" wrapText="1"/>
    </xf>
    <xf numFmtId="0" fontId="24" fillId="0" borderId="87" xfId="1" applyFont="1" applyBorder="1" applyAlignment="1">
      <alignment horizontal="justify" vertical="center"/>
    </xf>
    <xf numFmtId="0" fontId="24" fillId="0" borderId="84" xfId="1" applyFont="1" applyBorder="1" applyAlignment="1">
      <alignment horizontal="justify" vertical="center"/>
    </xf>
    <xf numFmtId="169" fontId="14" fillId="0" borderId="79" xfId="1" applyNumberFormat="1" applyFont="1" applyBorder="1" applyAlignment="1">
      <alignment horizontal="center" vertical="center" wrapText="1"/>
    </xf>
    <xf numFmtId="0" fontId="26" fillId="0" borderId="87" xfId="1" applyFont="1" applyBorder="1" applyAlignment="1">
      <alignment horizontal="justify" vertical="center"/>
    </xf>
    <xf numFmtId="0" fontId="26" fillId="0" borderId="84" xfId="1" applyFont="1" applyBorder="1" applyAlignment="1">
      <alignment horizontal="justify" vertical="center"/>
    </xf>
    <xf numFmtId="0" fontId="24" fillId="13" borderId="46" xfId="1" applyFont="1" applyFill="1" applyBorder="1" applyAlignment="1">
      <alignment horizontal="justify" vertical="top" wrapText="1"/>
    </xf>
    <xf numFmtId="0" fontId="24" fillId="13" borderId="39" xfId="1" applyFont="1" applyFill="1" applyBorder="1" applyAlignment="1">
      <alignment horizontal="justify" vertical="top" wrapText="1"/>
    </xf>
    <xf numFmtId="0" fontId="24" fillId="13" borderId="47" xfId="1" applyFont="1" applyFill="1" applyBorder="1" applyAlignment="1">
      <alignment horizontal="justify" vertical="top" wrapText="1"/>
    </xf>
    <xf numFmtId="0" fontId="24" fillId="13" borderId="48" xfId="1" applyFont="1" applyFill="1" applyBorder="1" applyAlignment="1">
      <alignment horizontal="justify" vertical="top" wrapText="1"/>
    </xf>
    <xf numFmtId="0" fontId="24" fillId="13" borderId="49" xfId="1" applyFont="1" applyFill="1" applyBorder="1" applyAlignment="1">
      <alignment horizontal="justify" vertical="top" wrapText="1"/>
    </xf>
    <xf numFmtId="0" fontId="24" fillId="13" borderId="50" xfId="1" applyFont="1" applyFill="1" applyBorder="1" applyAlignment="1">
      <alignment horizontal="justify" vertical="top" wrapText="1"/>
    </xf>
    <xf numFmtId="2" fontId="10" fillId="0" borderId="46" xfId="1" applyNumberFormat="1" applyBorder="1" applyAlignment="1">
      <alignment horizontal="justify" vertical="center" wrapText="1"/>
    </xf>
    <xf numFmtId="2" fontId="10" fillId="0" borderId="39" xfId="1" applyNumberFormat="1" applyBorder="1" applyAlignment="1">
      <alignment horizontal="justify" vertical="center" wrapText="1"/>
    </xf>
    <xf numFmtId="0" fontId="12" fillId="10" borderId="79" xfId="1" applyFont="1" applyFill="1" applyBorder="1" applyAlignment="1">
      <alignment horizontal="center" vertical="center" wrapText="1"/>
    </xf>
    <xf numFmtId="169" fontId="24" fillId="0" borderId="79" xfId="1" applyNumberFormat="1" applyFont="1" applyBorder="1" applyAlignment="1">
      <alignment horizontal="center" vertical="center" wrapText="1"/>
    </xf>
    <xf numFmtId="9" fontId="16" fillId="3" borderId="8" xfId="1" applyNumberFormat="1" applyFont="1" applyFill="1" applyBorder="1" applyAlignment="1">
      <alignment horizontal="center"/>
    </xf>
    <xf numFmtId="9" fontId="16" fillId="3" borderId="84" xfId="1" applyNumberFormat="1" applyFont="1" applyFill="1" applyBorder="1" applyAlignment="1">
      <alignment horizontal="center"/>
    </xf>
    <xf numFmtId="0" fontId="12" fillId="0" borderId="0" xfId="1" applyFont="1" applyAlignment="1">
      <alignment horizontal="center" vertical="center"/>
    </xf>
    <xf numFmtId="0" fontId="26" fillId="0" borderId="41" xfId="1" applyFont="1" applyBorder="1" applyAlignment="1">
      <alignment horizontal="justify" vertical="center" wrapText="1"/>
    </xf>
    <xf numFmtId="0" fontId="26" fillId="0" borderId="42" xfId="1" applyFont="1" applyBorder="1" applyAlignment="1">
      <alignment horizontal="justify" vertical="center"/>
    </xf>
    <xf numFmtId="0" fontId="26" fillId="0" borderId="43" xfId="1" applyFont="1" applyBorder="1" applyAlignment="1">
      <alignment horizontal="justify" vertical="center"/>
    </xf>
    <xf numFmtId="0" fontId="12" fillId="0" borderId="36" xfId="1" applyFont="1" applyBorder="1" applyAlignment="1">
      <alignment horizontal="center" vertical="center"/>
    </xf>
    <xf numFmtId="0" fontId="78" fillId="0" borderId="91" xfId="1" applyFont="1" applyBorder="1" applyAlignment="1">
      <alignment horizontal="center" vertical="center" wrapText="1"/>
    </xf>
    <xf numFmtId="0" fontId="78" fillId="0" borderId="89" xfId="1" applyFont="1" applyBorder="1" applyAlignment="1">
      <alignment horizontal="center" vertical="center" wrapText="1"/>
    </xf>
    <xf numFmtId="0" fontId="26" fillId="12" borderId="91" xfId="1" applyFont="1" applyFill="1" applyBorder="1" applyAlignment="1">
      <alignment horizontal="center" vertical="center"/>
    </xf>
    <xf numFmtId="0" fontId="26" fillId="12" borderId="81" xfId="1" applyFont="1" applyFill="1" applyBorder="1" applyAlignment="1">
      <alignment horizontal="center" vertical="center"/>
    </xf>
    <xf numFmtId="0" fontId="16" fillId="0" borderId="41" xfId="1" applyFont="1" applyBorder="1" applyAlignment="1">
      <alignment horizontal="justify" vertical="center"/>
    </xf>
    <xf numFmtId="0" fontId="16" fillId="0" borderId="42" xfId="1" applyFont="1" applyBorder="1" applyAlignment="1">
      <alignment horizontal="justify" vertical="center"/>
    </xf>
    <xf numFmtId="0" fontId="16" fillId="0" borderId="43" xfId="1" applyFont="1" applyBorder="1" applyAlignment="1">
      <alignment horizontal="justify" vertical="center"/>
    </xf>
    <xf numFmtId="0" fontId="19" fillId="0" borderId="41" xfId="1" applyFont="1" applyBorder="1" applyAlignment="1">
      <alignment horizontal="center" vertical="center" wrapText="1"/>
    </xf>
    <xf numFmtId="0" fontId="19" fillId="0" borderId="42" xfId="1" applyFont="1" applyBorder="1" applyAlignment="1">
      <alignment horizontal="center" vertical="center" wrapText="1"/>
    </xf>
    <xf numFmtId="0" fontId="19" fillId="0" borderId="43" xfId="1" applyFont="1" applyBorder="1" applyAlignment="1">
      <alignment horizontal="center" vertical="center" wrapText="1"/>
    </xf>
    <xf numFmtId="0" fontId="12" fillId="0" borderId="0" xfId="1" applyFont="1" applyAlignment="1">
      <alignment horizontal="right"/>
    </xf>
    <xf numFmtId="0" fontId="12" fillId="0" borderId="45" xfId="1" applyFont="1" applyBorder="1" applyAlignment="1">
      <alignment horizontal="right"/>
    </xf>
    <xf numFmtId="0" fontId="77" fillId="0" borderId="41" xfId="1" applyFont="1" applyBorder="1" applyAlignment="1">
      <alignment horizontal="left" vertical="center" wrapText="1"/>
    </xf>
    <xf numFmtId="0" fontId="77" fillId="0" borderId="42" xfId="1" applyFont="1" applyBorder="1" applyAlignment="1">
      <alignment horizontal="left" vertical="center" wrapText="1"/>
    </xf>
    <xf numFmtId="0" fontId="77" fillId="0" borderId="43" xfId="1" applyFont="1" applyBorder="1" applyAlignment="1">
      <alignment horizontal="left" vertical="center" wrapText="1"/>
    </xf>
    <xf numFmtId="0" fontId="10" fillId="0" borderId="0" xfId="0" applyFont="1" applyAlignment="1">
      <alignment horizontal="center" vertical="center"/>
    </xf>
    <xf numFmtId="9" fontId="17" fillId="0" borderId="79" xfId="19" applyFont="1" applyBorder="1" applyAlignment="1">
      <alignment horizontal="center" vertical="center"/>
    </xf>
    <xf numFmtId="0" fontId="183" fillId="13" borderId="80" xfId="0" applyFont="1" applyFill="1" applyBorder="1" applyAlignment="1">
      <alignment horizontal="justify" vertical="center" wrapText="1"/>
    </xf>
    <xf numFmtId="0" fontId="183" fillId="13" borderId="80" xfId="0" applyFont="1" applyFill="1" applyBorder="1" applyAlignment="1">
      <alignment horizontal="justify"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8" xfId="0" applyFont="1" applyBorder="1" applyAlignment="1">
      <alignment horizontal="center" vertical="center"/>
    </xf>
    <xf numFmtId="0" fontId="12" fillId="0" borderId="6" xfId="0" applyFont="1" applyBorder="1" applyAlignment="1">
      <alignment horizontal="center" vertical="center"/>
    </xf>
    <xf numFmtId="0" fontId="12" fillId="0" borderId="82" xfId="0" applyFont="1" applyBorder="1" applyAlignment="1">
      <alignment horizontal="center" vertical="center"/>
    </xf>
    <xf numFmtId="0" fontId="12" fillId="0" borderId="19" xfId="0" applyFont="1" applyBorder="1" applyAlignment="1">
      <alignment horizontal="justify" vertical="center"/>
    </xf>
    <xf numFmtId="0" fontId="12" fillId="0" borderId="15" xfId="0" applyFont="1" applyBorder="1" applyAlignment="1">
      <alignment horizontal="justify" vertical="center"/>
    </xf>
    <xf numFmtId="0" fontId="19" fillId="13" borderId="6" xfId="0" applyFont="1" applyFill="1" applyBorder="1" applyAlignment="1">
      <alignment horizontal="center" vertical="center"/>
    </xf>
    <xf numFmtId="0" fontId="19" fillId="13" borderId="79" xfId="0" applyFont="1" applyFill="1" applyBorder="1" applyAlignment="1">
      <alignment horizontal="center" vertical="center"/>
    </xf>
    <xf numFmtId="0" fontId="20" fillId="35" borderId="87" xfId="0" applyFont="1" applyFill="1" applyBorder="1" applyAlignment="1">
      <alignment horizontal="center" vertical="center"/>
    </xf>
    <xf numFmtId="0" fontId="20" fillId="35" borderId="8" xfId="0" applyFont="1" applyFill="1" applyBorder="1" applyAlignment="1">
      <alignment horizontal="center" vertical="center"/>
    </xf>
    <xf numFmtId="0" fontId="20" fillId="35" borderId="84" xfId="0" applyFont="1" applyFill="1" applyBorder="1" applyAlignment="1">
      <alignment horizontal="center" vertical="center"/>
    </xf>
    <xf numFmtId="0" fontId="12" fillId="35" borderId="10" xfId="0" applyFont="1" applyFill="1" applyBorder="1" applyAlignment="1">
      <alignment horizontal="center" vertical="center"/>
    </xf>
    <xf numFmtId="0" fontId="12" fillId="35" borderId="94" xfId="0" applyFont="1" applyFill="1" applyBorder="1" applyAlignment="1">
      <alignment horizontal="center" vertical="center"/>
    </xf>
    <xf numFmtId="0" fontId="12" fillId="0" borderId="14" xfId="0" applyFont="1" applyBorder="1" applyAlignment="1">
      <alignment horizontal="justify" vertical="center"/>
    </xf>
    <xf numFmtId="0" fontId="12" fillId="0" borderId="40" xfId="0" applyFont="1" applyBorder="1" applyAlignment="1">
      <alignment horizontal="justify" vertical="center"/>
    </xf>
    <xf numFmtId="0" fontId="12" fillId="0" borderId="14" xfId="0" applyFont="1" applyBorder="1" applyAlignment="1">
      <alignment horizontal="center" vertical="center"/>
    </xf>
    <xf numFmtId="0" fontId="12" fillId="0" borderId="40" xfId="0" applyFont="1" applyBorder="1" applyAlignment="1">
      <alignment horizontal="center" vertical="center"/>
    </xf>
    <xf numFmtId="0" fontId="19" fillId="13" borderId="19" xfId="0" applyFont="1" applyFill="1" applyBorder="1" applyAlignment="1">
      <alignment horizontal="center"/>
    </xf>
    <xf numFmtId="0" fontId="19" fillId="13" borderId="15" xfId="0" applyFont="1" applyFill="1" applyBorder="1" applyAlignment="1">
      <alignment horizontal="center"/>
    </xf>
    <xf numFmtId="0" fontId="17" fillId="32" borderId="87" xfId="17" applyFont="1" applyFill="1" applyBorder="1" applyAlignment="1">
      <alignment horizontal="center" wrapText="1"/>
    </xf>
    <xf numFmtId="0" fontId="17" fillId="32" borderId="84" xfId="17" applyFont="1" applyFill="1" applyBorder="1" applyAlignment="1">
      <alignment horizontal="center" wrapText="1"/>
    </xf>
    <xf numFmtId="0" fontId="17" fillId="32" borderId="79" xfId="17" applyFont="1" applyFill="1" applyBorder="1" applyAlignment="1">
      <alignment horizontal="center" wrapText="1"/>
    </xf>
    <xf numFmtId="0" fontId="20" fillId="27" borderId="83" xfId="17" applyFont="1" applyFill="1" applyBorder="1" applyAlignment="1">
      <alignment horizontal="center" vertical="center" wrapText="1"/>
    </xf>
    <xf numFmtId="0" fontId="20" fillId="27" borderId="80" xfId="17" applyFont="1" applyFill="1" applyBorder="1" applyAlignment="1">
      <alignment horizontal="center" vertical="center" wrapText="1"/>
    </xf>
    <xf numFmtId="0" fontId="22" fillId="27" borderId="6" xfId="17" applyFont="1" applyFill="1" applyBorder="1" applyAlignment="1">
      <alignment horizontal="center" vertical="center" wrapText="1"/>
    </xf>
    <xf numFmtId="0" fontId="22" fillId="27" borderId="10" xfId="17" applyFont="1" applyFill="1" applyBorder="1" applyAlignment="1">
      <alignment horizontal="center" vertical="center" wrapText="1"/>
    </xf>
    <xf numFmtId="0" fontId="44" fillId="32" borderId="59" xfId="17" applyFont="1" applyFill="1" applyBorder="1" applyAlignment="1">
      <alignment horizontal="center"/>
    </xf>
    <xf numFmtId="0" fontId="44" fillId="32" borderId="95" xfId="17" applyFont="1" applyFill="1" applyBorder="1" applyAlignment="1">
      <alignment horizontal="center"/>
    </xf>
    <xf numFmtId="0" fontId="145" fillId="13" borderId="41" xfId="25" applyFont="1" applyFill="1" applyBorder="1" applyAlignment="1">
      <alignment horizontal="justify" vertical="center" wrapText="1"/>
    </xf>
    <xf numFmtId="0" fontId="145" fillId="13" borderId="42" xfId="25" applyFont="1" applyFill="1" applyBorder="1" applyAlignment="1">
      <alignment horizontal="justify" vertical="center"/>
    </xf>
    <xf numFmtId="0" fontId="145" fillId="13" borderId="43" xfId="25" applyFont="1" applyFill="1" applyBorder="1" applyAlignment="1">
      <alignment horizontal="justify" vertical="center"/>
    </xf>
    <xf numFmtId="0" fontId="112" fillId="51" borderId="46" xfId="0" applyFont="1" applyFill="1" applyBorder="1" applyAlignment="1">
      <alignment horizontal="center" vertical="center" wrapText="1" readingOrder="1"/>
    </xf>
    <xf numFmtId="0" fontId="112" fillId="51" borderId="106" xfId="0" applyFont="1" applyFill="1" applyBorder="1" applyAlignment="1">
      <alignment horizontal="center" vertical="center" wrapText="1" readingOrder="1"/>
    </xf>
    <xf numFmtId="0" fontId="112" fillId="51" borderId="109" xfId="0" applyFont="1" applyFill="1" applyBorder="1" applyAlignment="1">
      <alignment horizontal="center" vertical="center" wrapText="1" readingOrder="1"/>
    </xf>
    <xf numFmtId="0" fontId="113" fillId="51" borderId="41" xfId="0" applyFont="1" applyFill="1" applyBorder="1" applyAlignment="1">
      <alignment horizontal="center" vertical="center" wrapText="1" readingOrder="1"/>
    </xf>
    <xf numFmtId="0" fontId="113" fillId="51" borderId="42" xfId="0" applyFont="1" applyFill="1" applyBorder="1" applyAlignment="1">
      <alignment horizontal="center" vertical="center" wrapText="1" readingOrder="1"/>
    </xf>
    <xf numFmtId="0" fontId="80" fillId="0" borderId="36" xfId="25" applyFont="1" applyBorder="1" applyAlignment="1">
      <alignment horizontal="center" vertical="center"/>
    </xf>
    <xf numFmtId="0" fontId="80" fillId="0" borderId="0" xfId="25" applyFont="1" applyAlignment="1">
      <alignment horizontal="center" vertical="center"/>
    </xf>
    <xf numFmtId="0" fontId="113" fillId="51" borderId="43" xfId="0" applyFont="1" applyFill="1" applyBorder="1" applyAlignment="1">
      <alignment horizontal="center" vertical="center" wrapText="1" readingOrder="1"/>
    </xf>
    <xf numFmtId="0" fontId="116" fillId="0" borderId="80" xfId="25" applyFont="1" applyBorder="1" applyAlignment="1">
      <alignment horizontal="center" wrapText="1"/>
    </xf>
    <xf numFmtId="0" fontId="98" fillId="29" borderId="36" xfId="25" applyFont="1" applyFill="1" applyBorder="1" applyAlignment="1">
      <alignment horizontal="center"/>
    </xf>
    <xf numFmtId="0" fontId="98" fillId="29" borderId="0" xfId="25" applyFont="1" applyFill="1" applyAlignment="1">
      <alignment horizontal="center"/>
    </xf>
    <xf numFmtId="0" fontId="95" fillId="0" borderId="0" xfId="25" applyFont="1" applyAlignment="1">
      <alignment horizontal="center"/>
    </xf>
    <xf numFmtId="0" fontId="95" fillId="0" borderId="49" xfId="25" applyFont="1" applyBorder="1" applyAlignment="1">
      <alignment horizontal="center"/>
    </xf>
    <xf numFmtId="0" fontId="93" fillId="29" borderId="57" xfId="25" applyFont="1" applyFill="1" applyBorder="1" applyAlignment="1">
      <alignment horizontal="center"/>
    </xf>
    <xf numFmtId="0" fontId="93" fillId="29" borderId="76" xfId="25" applyFont="1" applyFill="1" applyBorder="1" applyAlignment="1">
      <alignment horizontal="center"/>
    </xf>
    <xf numFmtId="0" fontId="10" fillId="0" borderId="87" xfId="17" applyFont="1" applyBorder="1" applyAlignment="1">
      <alignment horizontal="center" vertical="center" wrapText="1"/>
    </xf>
    <xf numFmtId="0" fontId="10" fillId="0" borderId="84" xfId="17" applyFont="1" applyBorder="1" applyAlignment="1">
      <alignment horizontal="center" vertical="center" wrapText="1"/>
    </xf>
    <xf numFmtId="0" fontId="19" fillId="0" borderId="56" xfId="17" applyFont="1" applyBorder="1" applyAlignment="1">
      <alignment horizontal="center" vertical="center"/>
    </xf>
    <xf numFmtId="0" fontId="19" fillId="0" borderId="57" xfId="17" applyFont="1" applyBorder="1" applyAlignment="1">
      <alignment horizontal="center" vertical="center"/>
    </xf>
    <xf numFmtId="0" fontId="19" fillId="0" borderId="58" xfId="17" applyFont="1" applyBorder="1" applyAlignment="1">
      <alignment horizontal="center" vertical="center"/>
    </xf>
    <xf numFmtId="0" fontId="12" fillId="0" borderId="80" xfId="17" applyFont="1" applyBorder="1" applyAlignment="1">
      <alignment horizontal="center" vertical="center" wrapText="1"/>
    </xf>
    <xf numFmtId="0" fontId="12" fillId="0" borderId="79" xfId="17" applyFont="1" applyBorder="1" applyAlignment="1">
      <alignment horizontal="center" vertical="center" wrapText="1"/>
    </xf>
    <xf numFmtId="0" fontId="12" fillId="0" borderId="80" xfId="17" applyFont="1" applyBorder="1" applyAlignment="1">
      <alignment horizontal="justify" vertical="center" wrapText="1"/>
    </xf>
    <xf numFmtId="0" fontId="10" fillId="0" borderId="79" xfId="17" applyFont="1" applyBorder="1" applyAlignment="1">
      <alignment horizontal="center" vertical="center" wrapText="1"/>
    </xf>
    <xf numFmtId="0" fontId="10" fillId="0" borderId="87" xfId="17" applyFont="1" applyBorder="1" applyAlignment="1">
      <alignment horizontal="justify" vertical="center" wrapText="1"/>
    </xf>
    <xf numFmtId="0" fontId="10" fillId="0" borderId="8" xfId="17" applyFont="1" applyBorder="1" applyAlignment="1">
      <alignment horizontal="justify" vertical="center" wrapText="1"/>
    </xf>
    <xf numFmtId="0" fontId="10" fillId="0" borderId="84" xfId="17" applyFont="1" applyBorder="1" applyAlignment="1">
      <alignment horizontal="justify" vertical="center" wrapText="1"/>
    </xf>
    <xf numFmtId="0" fontId="16" fillId="13" borderId="41" xfId="17" applyFont="1" applyFill="1" applyBorder="1" applyAlignment="1">
      <alignment horizontal="justify" vertical="center" wrapText="1"/>
    </xf>
    <xf numFmtId="0" fontId="16" fillId="13" borderId="42" xfId="17" applyFont="1" applyFill="1" applyBorder="1" applyAlignment="1">
      <alignment horizontal="justify" vertical="center" wrapText="1"/>
    </xf>
    <xf numFmtId="0" fontId="16" fillId="13" borderId="43" xfId="17" applyFont="1" applyFill="1" applyBorder="1" applyAlignment="1">
      <alignment horizontal="justify" vertical="center" wrapText="1"/>
    </xf>
    <xf numFmtId="0" fontId="107" fillId="0" borderId="0" xfId="17" applyFont="1" applyAlignment="1">
      <alignment horizontal="justify" vertical="center"/>
    </xf>
    <xf numFmtId="0" fontId="10" fillId="0" borderId="79" xfId="17" applyFont="1" applyBorder="1" applyAlignment="1">
      <alignment horizontal="center" vertical="center"/>
    </xf>
    <xf numFmtId="0" fontId="10" fillId="0" borderId="83" xfId="17" applyFont="1" applyBorder="1" applyAlignment="1">
      <alignment horizontal="center" vertical="center" wrapText="1"/>
    </xf>
    <xf numFmtId="0" fontId="10" fillId="0" borderId="3" xfId="17" applyFont="1" applyBorder="1" applyAlignment="1">
      <alignment horizontal="center" vertical="center" wrapText="1"/>
    </xf>
    <xf numFmtId="0" fontId="10" fillId="0" borderId="80" xfId="17" applyFont="1" applyBorder="1" applyAlignment="1">
      <alignment horizontal="center" vertical="center" wrapText="1"/>
    </xf>
    <xf numFmtId="0" fontId="17" fillId="15" borderId="41" xfId="17" applyFont="1" applyFill="1" applyBorder="1" applyAlignment="1">
      <alignment horizontal="center" vertical="center" wrapText="1"/>
    </xf>
    <xf numFmtId="0" fontId="17" fillId="15" borderId="42" xfId="17" applyFont="1" applyFill="1" applyBorder="1" applyAlignment="1">
      <alignment horizontal="center" vertical="center" wrapText="1"/>
    </xf>
    <xf numFmtId="9" fontId="12" fillId="6" borderId="10" xfId="36" applyFont="1" applyFill="1" applyBorder="1" applyAlignment="1">
      <alignment horizontal="center" vertical="center"/>
    </xf>
    <xf numFmtId="9" fontId="12" fillId="6" borderId="35" xfId="36" applyFont="1" applyFill="1" applyBorder="1" applyAlignment="1">
      <alignment horizontal="center" vertical="center"/>
    </xf>
    <xf numFmtId="0" fontId="151" fillId="0" borderId="36" xfId="35" applyFont="1" applyBorder="1" applyAlignment="1">
      <alignment horizontal="justify" vertical="center" wrapText="1"/>
    </xf>
    <xf numFmtId="0" fontId="151" fillId="0" borderId="0" xfId="35" applyFont="1" applyAlignment="1">
      <alignment horizontal="justify" vertical="center" wrapText="1"/>
    </xf>
    <xf numFmtId="0" fontId="97" fillId="0" borderId="18" xfId="35" applyFont="1" applyBorder="1" applyAlignment="1">
      <alignment horizontal="justify" vertical="center"/>
    </xf>
    <xf numFmtId="0" fontId="97" fillId="0" borderId="31" xfId="35" applyFont="1" applyBorder="1" applyAlignment="1">
      <alignment horizontal="justify" vertical="center"/>
    </xf>
    <xf numFmtId="0" fontId="97" fillId="0" borderId="19" xfId="35" applyFont="1" applyBorder="1" applyAlignment="1">
      <alignment horizontal="center" vertical="center"/>
    </xf>
    <xf numFmtId="0" fontId="97" fillId="0" borderId="32" xfId="35" applyFont="1" applyBorder="1" applyAlignment="1">
      <alignment horizontal="center" vertical="center"/>
    </xf>
    <xf numFmtId="0" fontId="97" fillId="0" borderId="19" xfId="35" applyFont="1" applyBorder="1" applyAlignment="1">
      <alignment horizontal="justify" vertical="center"/>
    </xf>
    <xf numFmtId="0" fontId="97" fillId="0" borderId="32" xfId="35" applyFont="1" applyBorder="1" applyAlignment="1">
      <alignment horizontal="justify" vertical="center"/>
    </xf>
    <xf numFmtId="9" fontId="12" fillId="0" borderId="15" xfId="36" applyFont="1" applyBorder="1" applyAlignment="1">
      <alignment horizontal="center" vertical="center"/>
    </xf>
    <xf numFmtId="9" fontId="12" fillId="0" borderId="35" xfId="36" applyFont="1" applyBorder="1" applyAlignment="1">
      <alignment horizontal="center" vertical="center"/>
    </xf>
    <xf numFmtId="0" fontId="151" fillId="0" borderId="36" xfId="35" applyFont="1" applyBorder="1" applyAlignment="1">
      <alignment horizontal="justify" vertical="center"/>
    </xf>
    <xf numFmtId="0" fontId="151" fillId="0" borderId="0" xfId="35" applyFont="1" applyAlignment="1">
      <alignment horizontal="justify" vertical="center"/>
    </xf>
    <xf numFmtId="0" fontId="97" fillId="0" borderId="79" xfId="35" applyFont="1" applyBorder="1" applyAlignment="1">
      <alignment horizontal="center" vertical="center"/>
    </xf>
    <xf numFmtId="9" fontId="12" fillId="6" borderId="15" xfId="36" applyFont="1" applyFill="1" applyBorder="1" applyAlignment="1">
      <alignment horizontal="center" vertical="center"/>
    </xf>
    <xf numFmtId="0" fontId="97" fillId="0" borderId="6" xfId="35" applyFont="1" applyBorder="1" applyAlignment="1">
      <alignment horizontal="justify" vertical="center"/>
    </xf>
    <xf numFmtId="0" fontId="97" fillId="0" borderId="16" xfId="35" applyFont="1" applyBorder="1" applyAlignment="1">
      <alignment horizontal="justify" vertical="center"/>
    </xf>
    <xf numFmtId="0" fontId="97" fillId="0" borderId="3" xfId="35" applyFont="1" applyBorder="1" applyAlignment="1">
      <alignment horizontal="center" vertical="center"/>
    </xf>
    <xf numFmtId="0" fontId="97" fillId="0" borderId="3" xfId="35" applyFont="1" applyBorder="1" applyAlignment="1">
      <alignment horizontal="justify" vertical="center"/>
    </xf>
    <xf numFmtId="9" fontId="12" fillId="6" borderId="96" xfId="36" applyFont="1" applyFill="1" applyBorder="1" applyAlignment="1">
      <alignment horizontal="center" vertical="center"/>
    </xf>
    <xf numFmtId="9" fontId="12" fillId="0" borderId="10" xfId="36" applyFont="1" applyBorder="1" applyAlignment="1">
      <alignment horizontal="center" vertical="center"/>
    </xf>
    <xf numFmtId="0" fontId="97" fillId="0" borderId="85" xfId="35" applyFont="1" applyBorder="1" applyAlignment="1">
      <alignment horizontal="justify" vertical="center"/>
    </xf>
    <xf numFmtId="0" fontId="97" fillId="0" borderId="80" xfId="35" applyFont="1" applyBorder="1" applyAlignment="1">
      <alignment horizontal="center" vertical="center"/>
    </xf>
    <xf numFmtId="0" fontId="97" fillId="0" borderId="80" xfId="35" applyFont="1" applyBorder="1" applyAlignment="1">
      <alignment horizontal="justify" vertical="center"/>
    </xf>
    <xf numFmtId="0" fontId="97" fillId="0" borderId="79" xfId="35" applyFont="1" applyBorder="1" applyAlignment="1">
      <alignment horizontal="justify" vertical="center"/>
    </xf>
    <xf numFmtId="9" fontId="12" fillId="6" borderId="90" xfId="36" applyFont="1" applyFill="1" applyBorder="1" applyAlignment="1">
      <alignment horizontal="center" vertical="center"/>
    </xf>
    <xf numFmtId="0" fontId="97" fillId="0" borderId="41" xfId="35" applyFont="1" applyBorder="1" applyAlignment="1">
      <alignment horizontal="justify" vertical="center" wrapText="1"/>
    </xf>
    <xf numFmtId="0" fontId="97" fillId="0" borderId="42" xfId="35" applyFont="1" applyBorder="1" applyAlignment="1">
      <alignment horizontal="justify" vertical="center" wrapText="1"/>
    </xf>
    <xf numFmtId="0" fontId="97" fillId="0" borderId="43" xfId="35" applyFont="1" applyBorder="1" applyAlignment="1">
      <alignment horizontal="justify" vertical="center" wrapText="1"/>
    </xf>
    <xf numFmtId="9" fontId="12" fillId="0" borderId="96" xfId="36" applyFont="1" applyBorder="1" applyAlignment="1">
      <alignment horizontal="center" vertical="center"/>
    </xf>
    <xf numFmtId="0" fontId="12" fillId="35" borderId="18" xfId="35" applyFont="1" applyFill="1" applyBorder="1" applyAlignment="1">
      <alignment horizontal="justify" vertical="center"/>
    </xf>
    <xf numFmtId="0" fontId="12" fillId="35" borderId="82" xfId="35" applyFont="1" applyFill="1" applyBorder="1" applyAlignment="1">
      <alignment horizontal="justify" vertical="center"/>
    </xf>
    <xf numFmtId="0" fontId="141" fillId="39" borderId="41" xfId="35" applyFont="1" applyFill="1" applyBorder="1" applyAlignment="1">
      <alignment horizontal="justify" vertical="center" wrapText="1"/>
    </xf>
    <xf numFmtId="0" fontId="141" fillId="39" borderId="42" xfId="35" applyFont="1" applyFill="1" applyBorder="1" applyAlignment="1">
      <alignment horizontal="justify" vertical="center" wrapText="1"/>
    </xf>
    <xf numFmtId="0" fontId="141" fillId="39" borderId="43" xfId="35" applyFont="1" applyFill="1" applyBorder="1" applyAlignment="1">
      <alignment horizontal="justify" vertical="center" wrapText="1"/>
    </xf>
    <xf numFmtId="0" fontId="17" fillId="59" borderId="41" xfId="35" applyFont="1" applyFill="1" applyBorder="1" applyAlignment="1">
      <alignment horizontal="center" vertical="center" wrapText="1"/>
    </xf>
    <xf numFmtId="0" fontId="17" fillId="59" borderId="42" xfId="35" applyFont="1" applyFill="1" applyBorder="1" applyAlignment="1">
      <alignment horizontal="center" vertical="center" wrapText="1"/>
    </xf>
    <xf numFmtId="0" fontId="17" fillId="59" borderId="43" xfId="35" applyFont="1" applyFill="1" applyBorder="1" applyAlignment="1">
      <alignment horizontal="center" vertical="center" wrapText="1"/>
    </xf>
    <xf numFmtId="0" fontId="129" fillId="63" borderId="36" xfId="35" applyFont="1" applyFill="1" applyBorder="1" applyAlignment="1">
      <alignment horizontal="justify" vertical="center"/>
    </xf>
    <xf numFmtId="0" fontId="129" fillId="63" borderId="0" xfId="35" applyFont="1" applyFill="1" applyAlignment="1">
      <alignment horizontal="justify" vertical="center"/>
    </xf>
    <xf numFmtId="0" fontId="12" fillId="35" borderId="19" xfId="35" applyFont="1" applyFill="1" applyBorder="1" applyAlignment="1">
      <alignment horizontal="center" vertical="center"/>
    </xf>
    <xf numFmtId="0" fontId="12" fillId="35" borderId="83" xfId="35" applyFont="1" applyFill="1" applyBorder="1" applyAlignment="1">
      <alignment horizontal="center" vertical="center"/>
    </xf>
    <xf numFmtId="0" fontId="12" fillId="35" borderId="19" xfId="35" applyFont="1" applyFill="1" applyBorder="1" applyAlignment="1">
      <alignment horizontal="center" vertical="center" wrapText="1"/>
    </xf>
    <xf numFmtId="0" fontId="47" fillId="35" borderId="15" xfId="35" applyFont="1" applyFill="1" applyBorder="1" applyAlignment="1">
      <alignment horizontal="justify" vertical="center"/>
    </xf>
    <xf numFmtId="0" fontId="47" fillId="35" borderId="94" xfId="35" applyFont="1" applyFill="1" applyBorder="1" applyAlignment="1">
      <alignment horizontal="justify" vertical="center"/>
    </xf>
    <xf numFmtId="0" fontId="127" fillId="0" borderId="6" xfId="35" applyFont="1" applyBorder="1" applyAlignment="1">
      <alignment horizontal="center" vertical="center"/>
    </xf>
    <xf numFmtId="0" fontId="47" fillId="35" borderId="15" xfId="35" applyFont="1" applyFill="1" applyBorder="1" applyAlignment="1">
      <alignment horizontal="center" vertical="center"/>
    </xf>
    <xf numFmtId="0" fontId="47" fillId="35" borderId="94" xfId="35" applyFont="1" applyFill="1" applyBorder="1" applyAlignment="1">
      <alignment horizontal="center" vertical="center"/>
    </xf>
    <xf numFmtId="0" fontId="12" fillId="35" borderId="105" xfId="35" applyFont="1" applyFill="1" applyBorder="1" applyAlignment="1">
      <alignment horizontal="center" vertical="center"/>
    </xf>
    <xf numFmtId="0" fontId="12" fillId="35" borderId="3" xfId="35" applyFont="1" applyFill="1" applyBorder="1" applyAlignment="1">
      <alignment horizontal="center" vertical="center"/>
    </xf>
    <xf numFmtId="0" fontId="150" fillId="0" borderId="79" xfId="35" applyFont="1" applyBorder="1" applyAlignment="1">
      <alignment horizontal="center" vertical="center"/>
    </xf>
    <xf numFmtId="0" fontId="12" fillId="28" borderId="36" xfId="1" applyFont="1" applyFill="1" applyBorder="1" applyAlignment="1">
      <alignment horizontal="center" vertical="center"/>
    </xf>
    <xf numFmtId="0" fontId="12" fillId="28" borderId="49" xfId="1" applyFont="1" applyFill="1" applyBorder="1" applyAlignment="1">
      <alignment horizontal="center" vertical="center"/>
    </xf>
    <xf numFmtId="0" fontId="97" fillId="0" borderId="41" xfId="35" applyFont="1" applyBorder="1" applyAlignment="1">
      <alignment horizontal="center" vertical="center"/>
    </xf>
    <xf numFmtId="0" fontId="97" fillId="0" borderId="43" xfId="35" applyFont="1" applyBorder="1" applyAlignment="1">
      <alignment horizontal="center" vertical="center"/>
    </xf>
    <xf numFmtId="0" fontId="12" fillId="39" borderId="41" xfId="35" applyFont="1" applyFill="1" applyBorder="1" applyAlignment="1">
      <alignment horizontal="center" vertical="center" wrapText="1"/>
    </xf>
    <xf numFmtId="0" fontId="12" fillId="39" borderId="42" xfId="35" applyFont="1" applyFill="1" applyBorder="1" applyAlignment="1">
      <alignment horizontal="center" vertical="center" wrapText="1"/>
    </xf>
    <xf numFmtId="0" fontId="12" fillId="39" borderId="43" xfId="35" applyFont="1" applyFill="1" applyBorder="1" applyAlignment="1">
      <alignment horizontal="center" vertical="center" wrapText="1"/>
    </xf>
    <xf numFmtId="0" fontId="129" fillId="63" borderId="55" xfId="35" applyFont="1" applyFill="1" applyBorder="1" applyAlignment="1">
      <alignment horizontal="center" vertical="center" wrapText="1"/>
    </xf>
    <xf numFmtId="0" fontId="129" fillId="63" borderId="72" xfId="35" applyFont="1" applyFill="1" applyBorder="1" applyAlignment="1">
      <alignment horizontal="center" vertical="center" wrapText="1"/>
    </xf>
    <xf numFmtId="0" fontId="10" fillId="0" borderId="18" xfId="35" applyFont="1" applyBorder="1" applyAlignment="1">
      <alignment horizontal="justify" vertical="center"/>
    </xf>
    <xf numFmtId="0" fontId="10" fillId="0" borderId="6" xfId="35" applyFont="1" applyBorder="1" applyAlignment="1">
      <alignment horizontal="justify" vertical="center"/>
    </xf>
    <xf numFmtId="0" fontId="10" fillId="0" borderId="31" xfId="35" applyFont="1" applyBorder="1" applyAlignment="1">
      <alignment horizontal="justify" vertical="center"/>
    </xf>
    <xf numFmtId="0" fontId="63" fillId="0" borderId="19" xfId="35" applyFont="1" applyBorder="1" applyAlignment="1">
      <alignment horizontal="center" vertical="center"/>
    </xf>
    <xf numFmtId="0" fontId="63" fillId="0" borderId="79" xfId="35" applyFont="1" applyBorder="1" applyAlignment="1">
      <alignment horizontal="center" vertical="center"/>
    </xf>
    <xf numFmtId="0" fontId="63" fillId="0" borderId="32" xfId="35" applyFont="1" applyBorder="1" applyAlignment="1">
      <alignment horizontal="center" vertical="center"/>
    </xf>
    <xf numFmtId="0" fontId="10" fillId="0" borderId="80" xfId="35" applyFont="1" applyBorder="1" applyAlignment="1">
      <alignment horizontal="justify" vertical="center"/>
    </xf>
    <xf numFmtId="0" fontId="10" fillId="0" borderId="83" xfId="35" applyFont="1" applyBorder="1" applyAlignment="1">
      <alignment horizontal="justify" vertical="center"/>
    </xf>
    <xf numFmtId="0" fontId="24" fillId="0" borderId="80" xfId="35" applyFont="1" applyBorder="1" applyAlignment="1">
      <alignment horizontal="center" vertical="center"/>
    </xf>
    <xf numFmtId="0" fontId="24" fillId="0" borderId="83" xfId="35" applyFont="1" applyBorder="1" applyAlignment="1">
      <alignment horizontal="center" vertical="center"/>
    </xf>
    <xf numFmtId="0" fontId="16" fillId="0" borderId="83" xfId="35" applyFont="1" applyBorder="1" applyAlignment="1">
      <alignment horizontal="center" vertical="center" wrapText="1"/>
    </xf>
    <xf numFmtId="0" fontId="63" fillId="39" borderId="56" xfId="35" applyFont="1" applyFill="1" applyBorder="1" applyAlignment="1">
      <alignment horizontal="justify" vertical="center" wrapText="1"/>
    </xf>
    <xf numFmtId="0" fontId="63" fillId="39" borderId="57" xfId="35" applyFont="1" applyFill="1" applyBorder="1" applyAlignment="1">
      <alignment horizontal="justify" vertical="center"/>
    </xf>
    <xf numFmtId="0" fontId="63" fillId="39" borderId="58" xfId="35" applyFont="1" applyFill="1" applyBorder="1" applyAlignment="1">
      <alignment horizontal="justify" vertical="center"/>
    </xf>
    <xf numFmtId="0" fontId="10" fillId="0" borderId="18" xfId="35" applyFont="1" applyBorder="1" applyAlignment="1">
      <alignment horizontal="center" vertical="center" wrapText="1"/>
    </xf>
    <xf numFmtId="0" fontId="10" fillId="0" borderId="6" xfId="35" applyFont="1" applyBorder="1" applyAlignment="1">
      <alignment horizontal="center" vertical="center" wrapText="1"/>
    </xf>
    <xf numFmtId="0" fontId="10" fillId="0" borderId="31" xfId="35" applyFont="1" applyBorder="1" applyAlignment="1">
      <alignment horizontal="center" vertical="center" wrapText="1"/>
    </xf>
    <xf numFmtId="0" fontId="10" fillId="0" borderId="16" xfId="35" applyFont="1" applyBorder="1" applyAlignment="1">
      <alignment horizontal="justify" vertical="center" wrapText="1"/>
    </xf>
    <xf numFmtId="0" fontId="63" fillId="0" borderId="3" xfId="35" applyFont="1" applyBorder="1" applyAlignment="1">
      <alignment horizontal="center" vertical="center"/>
    </xf>
    <xf numFmtId="0" fontId="10" fillId="0" borderId="82" xfId="35" applyFont="1" applyBorder="1" applyAlignment="1">
      <alignment horizontal="justify" vertical="center"/>
    </xf>
    <xf numFmtId="0" fontId="63" fillId="0" borderId="83" xfId="35" applyFont="1" applyBorder="1" applyAlignment="1">
      <alignment horizontal="center" vertical="center"/>
    </xf>
    <xf numFmtId="0" fontId="24" fillId="0" borderId="19" xfId="35" applyFont="1" applyBorder="1" applyAlignment="1">
      <alignment horizontal="center" vertical="center"/>
    </xf>
    <xf numFmtId="0" fontId="24" fillId="0" borderId="79" xfId="35" applyFont="1" applyBorder="1" applyAlignment="1">
      <alignment horizontal="center" vertical="center"/>
    </xf>
    <xf numFmtId="0" fontId="24" fillId="0" borderId="32" xfId="35" applyFont="1" applyBorder="1" applyAlignment="1">
      <alignment horizontal="center" vertical="center"/>
    </xf>
    <xf numFmtId="0" fontId="10" fillId="0" borderId="85" xfId="35" applyFont="1" applyBorder="1" applyAlignment="1">
      <alignment horizontal="justify" vertical="center"/>
    </xf>
    <xf numFmtId="0" fontId="63" fillId="0" borderId="80" xfId="35" applyFont="1" applyBorder="1" applyAlignment="1">
      <alignment horizontal="center" vertical="center"/>
    </xf>
    <xf numFmtId="0" fontId="10" fillId="0" borderId="79" xfId="35" applyFont="1" applyBorder="1" applyAlignment="1">
      <alignment horizontal="justify" vertical="center"/>
    </xf>
    <xf numFmtId="0" fontId="80" fillId="0" borderId="41" xfId="35" applyFont="1" applyBorder="1" applyAlignment="1">
      <alignment horizontal="center" vertical="center"/>
    </xf>
    <xf numFmtId="0" fontId="80" fillId="0" borderId="42" xfId="35" applyFont="1" applyBorder="1" applyAlignment="1">
      <alignment horizontal="center" vertical="center"/>
    </xf>
    <xf numFmtId="0" fontId="80" fillId="0" borderId="43" xfId="35" applyFont="1" applyBorder="1" applyAlignment="1">
      <alignment horizontal="center" vertical="center"/>
    </xf>
    <xf numFmtId="0" fontId="12" fillId="35" borderId="85" xfId="35" applyFont="1" applyFill="1" applyBorder="1" applyAlignment="1">
      <alignment horizontal="justify" vertical="center"/>
    </xf>
    <xf numFmtId="0" fontId="20" fillId="35" borderId="80" xfId="35" applyFont="1" applyFill="1" applyBorder="1" applyAlignment="1">
      <alignment horizontal="justify" vertical="center"/>
    </xf>
    <xf numFmtId="0" fontId="20" fillId="35" borderId="83" xfId="35" applyFont="1" applyFill="1" applyBorder="1" applyAlignment="1">
      <alignment horizontal="justify" vertical="center"/>
    </xf>
    <xf numFmtId="0" fontId="12" fillId="35" borderId="80" xfId="35" applyFont="1" applyFill="1" applyBorder="1" applyAlignment="1">
      <alignment horizontal="justify" vertical="center"/>
    </xf>
    <xf numFmtId="0" fontId="12" fillId="35" borderId="83" xfId="35" applyFont="1" applyFill="1" applyBorder="1" applyAlignment="1">
      <alignment horizontal="justify" vertical="center"/>
    </xf>
    <xf numFmtId="0" fontId="12" fillId="55" borderId="80" xfId="35" applyFont="1" applyFill="1" applyBorder="1" applyAlignment="1">
      <alignment horizontal="justify" vertical="center"/>
    </xf>
    <xf numFmtId="0" fontId="12" fillId="55" borderId="83" xfId="35" applyFont="1" applyFill="1" applyBorder="1" applyAlignment="1">
      <alignment horizontal="justify" vertical="center"/>
    </xf>
    <xf numFmtId="0" fontId="12" fillId="35" borderId="90" xfId="35" applyFont="1" applyFill="1" applyBorder="1" applyAlignment="1">
      <alignment horizontal="center" vertical="center" wrapText="1"/>
    </xf>
    <xf numFmtId="0" fontId="12" fillId="35" borderId="94" xfId="35" applyFont="1" applyFill="1" applyBorder="1" applyAlignment="1">
      <alignment horizontal="center" vertical="center"/>
    </xf>
    <xf numFmtId="0" fontId="12" fillId="39" borderId="71" xfId="35" applyFont="1" applyFill="1" applyBorder="1" applyAlignment="1">
      <alignment horizontal="center" vertical="center" wrapText="1"/>
    </xf>
    <xf numFmtId="0" fontId="17" fillId="45" borderId="7" xfId="17" applyFont="1" applyFill="1" applyBorder="1" applyAlignment="1">
      <alignment horizontal="center" vertical="center" wrapText="1"/>
    </xf>
    <xf numFmtId="0" fontId="17" fillId="45" borderId="8" xfId="17" applyFont="1" applyFill="1" applyBorder="1" applyAlignment="1">
      <alignment horizontal="center" vertical="center" wrapText="1"/>
    </xf>
    <xf numFmtId="0" fontId="17" fillId="45" borderId="9" xfId="17" applyFont="1" applyFill="1" applyBorder="1" applyAlignment="1">
      <alignment horizontal="center" vertical="center" wrapText="1"/>
    </xf>
    <xf numFmtId="0" fontId="142" fillId="13" borderId="41" xfId="0" applyFont="1" applyFill="1" applyBorder="1" applyAlignment="1">
      <alignment horizontal="justify" vertical="center" wrapText="1" readingOrder="1"/>
    </xf>
    <xf numFmtId="0" fontId="142" fillId="13" borderId="42" xfId="0" applyFont="1" applyFill="1" applyBorder="1" applyAlignment="1">
      <alignment horizontal="justify" vertical="center" readingOrder="1"/>
    </xf>
    <xf numFmtId="0" fontId="142" fillId="13" borderId="43" xfId="0" applyFont="1" applyFill="1" applyBorder="1" applyAlignment="1">
      <alignment horizontal="justify" vertical="center" readingOrder="1"/>
    </xf>
  </cellXfs>
  <cellStyles count="39">
    <cellStyle name="Énfasis1" xfId="23" builtinId="29"/>
    <cellStyle name="Énfasis3" xfId="24" builtinId="37"/>
    <cellStyle name="Euro" xfId="21"/>
    <cellStyle name="Millares [0]" xfId="31" builtinId="6"/>
    <cellStyle name="Millares 2" xfId="5"/>
    <cellStyle name="Millares 2 2" xfId="2"/>
    <cellStyle name="Millares 2 2 2" xfId="13"/>
    <cellStyle name="Millares 2 2 3" xfId="18"/>
    <cellStyle name="Millares 3" xfId="6"/>
    <cellStyle name="Millares 4" xfId="12"/>
    <cellStyle name="Millares 5" xfId="14"/>
    <cellStyle name="Millares 5 2" xfId="33"/>
    <cellStyle name="Millares 6" xfId="15"/>
    <cellStyle name="Millares 6 2" xfId="34"/>
    <cellStyle name="Millares 7" xfId="16"/>
    <cellStyle name="Normal" xfId="0" builtinId="0"/>
    <cellStyle name="Normal 2" xfId="1"/>
    <cellStyle name="Normal 2 2" xfId="27"/>
    <cellStyle name="Normal 3" xfId="10"/>
    <cellStyle name="Normal 3 2" xfId="17"/>
    <cellStyle name="Normal 4" xfId="22"/>
    <cellStyle name="Normal 5" xfId="25"/>
    <cellStyle name="Normal 5 2" xfId="38"/>
    <cellStyle name="Normal 6" xfId="26"/>
    <cellStyle name="Normal 6 2" xfId="29"/>
    <cellStyle name="Normal 7" xfId="35"/>
    <cellStyle name="Normal 8" xfId="37"/>
    <cellStyle name="Normal_CUADROS REVISION GERENCIAL" xfId="7"/>
    <cellStyle name="Normal_RESULTADOS FINALES ENCUESTA 2009" xfId="8"/>
    <cellStyle name="Porcentaje" xfId="19" builtinId="5"/>
    <cellStyle name="Porcentaje 2" xfId="20"/>
    <cellStyle name="Porcentaje 2 2" xfId="30"/>
    <cellStyle name="Porcentaje 3" xfId="28"/>
    <cellStyle name="Porcentaje 4" xfId="36"/>
    <cellStyle name="Porcentual 2" xfId="3"/>
    <cellStyle name="Porcentual 3" xfId="9"/>
    <cellStyle name="Porcentual 3 2" xfId="4"/>
    <cellStyle name="Porcentual 4" xfId="11"/>
    <cellStyle name="Porcentual 4 2" xfId="32"/>
  </cellStyles>
  <dxfs count="0"/>
  <tableStyles count="0" defaultTableStyle="TableStyleMedium9" defaultPivotStyle="PivotStyleLight16"/>
  <colors>
    <mruColors>
      <color rgb="FF0000FF"/>
      <color rgb="FF0066FF"/>
      <color rgb="FF00CCFF"/>
      <color rgb="FFFFFF99"/>
      <color rgb="FF00FF00"/>
      <color rgb="FFFFCC00"/>
      <color rgb="FFFFCC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COMPARATIVO  RESULTADOS ENCUESTAS DE SATISFACCIÓN</a:t>
            </a:r>
            <a:endParaRPr lang="es-CO">
              <a:effectLst/>
            </a:endParaRPr>
          </a:p>
          <a:p>
            <a:pPr>
              <a:defRPr/>
            </a:pPr>
            <a:r>
              <a:rPr lang="es-CO" sz="1800" b="1" i="0" baseline="0">
                <a:effectLst/>
              </a:rPr>
              <a:t>2006 - 2019</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'Objetivo 1(Encuestas)'!$B$3:$K$3</c:f>
              <c:numCache>
                <c:formatCode>General</c:formatCode>
                <c:ptCount val="9"/>
                <c:pt idx="0">
                  <c:v>2006</c:v>
                </c:pt>
                <c:pt idx="1">
                  <c:v>2007</c:v>
                </c:pt>
                <c:pt idx="2">
                  <c:v>2008</c:v>
                </c:pt>
                <c:pt idx="3">
                  <c:v>2009</c:v>
                </c:pt>
                <c:pt idx="4">
                  <c:v>2012</c:v>
                </c:pt>
                <c:pt idx="5">
                  <c:v>2016</c:v>
                </c:pt>
                <c:pt idx="6">
                  <c:v>2017</c:v>
                </c:pt>
                <c:pt idx="7">
                  <c:v>2018</c:v>
                </c:pt>
                <c:pt idx="8">
                  <c:v>2019</c:v>
                </c:pt>
              </c:numCache>
            </c:numRef>
          </c:cat>
          <c:val>
            <c:numRef>
              <c:f>'Objetivo 1(Encuestas)'!$B$4:$K$4</c:f>
              <c:numCache>
                <c:formatCode>0.0%</c:formatCode>
                <c:ptCount val="9"/>
                <c:pt idx="0">
                  <c:v>0.625</c:v>
                </c:pt>
                <c:pt idx="1">
                  <c:v>0.72</c:v>
                </c:pt>
                <c:pt idx="2" formatCode="0.00%">
                  <c:v>0.75139999999999996</c:v>
                </c:pt>
                <c:pt idx="3" formatCode="0.00%">
                  <c:v>0.6804</c:v>
                </c:pt>
                <c:pt idx="4" formatCode="0.00%">
                  <c:v>0.88519999999999999</c:v>
                </c:pt>
                <c:pt idx="5" formatCode="0.00%">
                  <c:v>0.77370000000000005</c:v>
                </c:pt>
                <c:pt idx="6" formatCode="0.00%">
                  <c:v>0.75229999999999997</c:v>
                </c:pt>
                <c:pt idx="8" formatCode="0.00%">
                  <c:v>0.82599999999999996</c:v>
                </c:pt>
              </c:numCache>
            </c:numRef>
          </c:val>
          <c:extLst>
            <c:ext xmlns:c16="http://schemas.microsoft.com/office/drawing/2014/chart" uri="{C3380CC4-5D6E-409C-BE32-E72D297353CC}">
              <c16:uniqueId val="{00000000-37F6-4B31-A31B-C425EF3EC948}"/>
            </c:ext>
          </c:extLst>
        </c:ser>
        <c:dLbls>
          <c:dLblPos val="outEnd"/>
          <c:showLegendKey val="0"/>
          <c:showVal val="1"/>
          <c:showCatName val="0"/>
          <c:showSerName val="0"/>
          <c:showPercent val="0"/>
          <c:showBubbleSize val="0"/>
        </c:dLbls>
        <c:gapWidth val="219"/>
        <c:overlap val="-27"/>
        <c:axId val="519286192"/>
        <c:axId val="519278704"/>
      </c:barChart>
      <c:catAx>
        <c:axId val="51928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9278704"/>
        <c:crosses val="autoZero"/>
        <c:auto val="1"/>
        <c:lblAlgn val="ctr"/>
        <c:lblOffset val="100"/>
        <c:noMultiLvlLbl val="0"/>
      </c:catAx>
      <c:valAx>
        <c:axId val="519278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9286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s-CO"/>
              <a:t>COMPARATIVO</a:t>
            </a:r>
            <a:r>
              <a:rPr lang="es-CO" baseline="0"/>
              <a:t> DE </a:t>
            </a:r>
            <a:r>
              <a:rPr lang="es-CO"/>
              <a:t>CALIFICACIÓN DEL SERVICIO </a:t>
            </a:r>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'Objetivo 1(Calif. ss)'!$A$9:$R$9</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val>
          <c:extLst>
            <c:ext xmlns:c16="http://schemas.microsoft.com/office/drawing/2014/chart" uri="{C3380CC4-5D6E-409C-BE32-E72D297353CC}">
              <c16:uniqueId val="{00000000-0550-44A0-8467-A80F53B83D6F}"/>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'Objetivo 1(Calif. ss)'!$A$10:$R$10</c:f>
              <c:numCache>
                <c:formatCode>0%</c:formatCode>
                <c:ptCount val="17"/>
                <c:pt idx="0">
                  <c:v>0.78</c:v>
                </c:pt>
                <c:pt idx="1">
                  <c:v>0.87</c:v>
                </c:pt>
                <c:pt idx="2">
                  <c:v>0.95</c:v>
                </c:pt>
                <c:pt idx="3">
                  <c:v>0.93</c:v>
                </c:pt>
                <c:pt idx="4">
                  <c:v>0.95</c:v>
                </c:pt>
                <c:pt idx="5">
                  <c:v>0.96</c:v>
                </c:pt>
                <c:pt idx="6">
                  <c:v>0.96</c:v>
                </c:pt>
                <c:pt idx="7">
                  <c:v>0.92500000000000004</c:v>
                </c:pt>
                <c:pt idx="8">
                  <c:v>0.86</c:v>
                </c:pt>
                <c:pt idx="9">
                  <c:v>0.87</c:v>
                </c:pt>
                <c:pt idx="10">
                  <c:v>0.91</c:v>
                </c:pt>
                <c:pt idx="11">
                  <c:v>0.99</c:v>
                </c:pt>
                <c:pt idx="12" formatCode="0.00%">
                  <c:v>0.96499999999999997</c:v>
                </c:pt>
                <c:pt idx="13" formatCode="0.00%">
                  <c:v>0.97524999999999995</c:v>
                </c:pt>
                <c:pt idx="14" formatCode="0.00%">
                  <c:v>0.97455000000000003</c:v>
                </c:pt>
                <c:pt idx="15" formatCode="0.00%">
                  <c:v>0</c:v>
                </c:pt>
                <c:pt idx="16" formatCode="0.00%">
                  <c:v>0.97108070175438588</c:v>
                </c:pt>
              </c:numCache>
            </c:numRef>
          </c:val>
          <c:extLst>
            <c:ext xmlns:c16="http://schemas.microsoft.com/office/drawing/2014/chart" uri="{C3380CC4-5D6E-409C-BE32-E72D297353CC}">
              <c16:uniqueId val="{00000000-D1FD-420A-B693-542A4BC093D0}"/>
            </c:ext>
          </c:extLst>
        </c:ser>
        <c:dLbls>
          <c:dLblPos val="outEnd"/>
          <c:showLegendKey val="0"/>
          <c:showVal val="1"/>
          <c:showCatName val="0"/>
          <c:showSerName val="0"/>
          <c:showPercent val="0"/>
          <c:showBubbleSize val="0"/>
        </c:dLbls>
        <c:gapWidth val="219"/>
        <c:overlap val="-27"/>
        <c:axId val="1463207440"/>
        <c:axId val="1530762864"/>
      </c:barChart>
      <c:catAx>
        <c:axId val="146320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1530762864"/>
        <c:crosses val="autoZero"/>
        <c:auto val="1"/>
        <c:lblAlgn val="ctr"/>
        <c:lblOffset val="100"/>
        <c:noMultiLvlLbl val="0"/>
      </c:catAx>
      <c:valAx>
        <c:axId val="1530762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1463207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Black"/>
                <a:ea typeface="Arial Black"/>
                <a:cs typeface="Arial Black"/>
              </a:defRPr>
            </a:pPr>
            <a:r>
              <a:rPr lang="es-ES"/>
              <a:t>Porcentaje Cumplimiento Objetivos de Calidad  2022</a:t>
            </a:r>
          </a:p>
        </c:rich>
      </c:tx>
      <c:layout/>
      <c:overlay val="0"/>
      <c:spPr>
        <a:noFill/>
        <a:ln w="25400">
          <a:noFill/>
        </a:ln>
      </c:spPr>
    </c:title>
    <c:autoTitleDeleted val="0"/>
    <c:plotArea>
      <c:layout/>
      <c:barChart>
        <c:barDir val="col"/>
        <c:grouping val="clustered"/>
        <c:varyColors val="0"/>
        <c:ser>
          <c:idx val="1"/>
          <c:order val="0"/>
          <c:tx>
            <c:strRef>
              <c:f>'Cumplimiento Objetivos '!$C$2</c:f>
              <c:strCache>
                <c:ptCount val="1"/>
                <c:pt idx="0">
                  <c:v>2022-1</c:v>
                </c:pt>
              </c:strCache>
            </c:strRef>
          </c:tx>
          <c:spPr>
            <a:gradFill rotWithShape="0">
              <a:gsLst>
                <a:gs pos="0">
                  <a:srgbClr val="0000FF"/>
                </a:gs>
                <a:gs pos="100000">
                  <a:srgbClr val="0000FF">
                    <a:gamma/>
                    <a:shade val="46275"/>
                    <a:invGamma/>
                  </a:srgbClr>
                </a:gs>
              </a:gsLst>
              <a:lin ang="5400000" scaled="1"/>
            </a:gradFill>
            <a:ln w="12700">
              <a:solidFill>
                <a:srgbClr val="000000"/>
              </a:solidFill>
              <a:prstDash val="solid"/>
            </a:ln>
          </c:spPr>
          <c:invertIfNegative val="0"/>
          <c:dPt>
            <c:idx val="0"/>
            <c:invertIfNegative val="0"/>
            <c:bubble3D val="0"/>
            <c:spPr>
              <a:gradFill rotWithShape="0">
                <a:gsLst>
                  <a:gs pos="0">
                    <a:srgbClr val="99CC00"/>
                  </a:gs>
                  <a:gs pos="50000">
                    <a:srgbClr val="475E00"/>
                  </a:gs>
                  <a:gs pos="100000">
                    <a:srgbClr val="99CC00"/>
                  </a:gs>
                </a:gsLst>
                <a:lin ang="0" scaled="1"/>
              </a:gradFill>
              <a:ln w="12700">
                <a:solidFill>
                  <a:srgbClr val="000000"/>
                </a:solidFill>
                <a:prstDash val="solid"/>
              </a:ln>
            </c:spPr>
            <c:extLst>
              <c:ext xmlns:c16="http://schemas.microsoft.com/office/drawing/2014/chart" uri="{C3380CC4-5D6E-409C-BE32-E72D297353CC}">
                <c16:uniqueId val="{00000001-BC45-4D73-80CC-BA5F1CF29A44}"/>
              </c:ext>
            </c:extLst>
          </c:dPt>
          <c:dPt>
            <c:idx val="1"/>
            <c:invertIfNegative val="0"/>
            <c:bubble3D val="0"/>
            <c:spPr>
              <a:gradFill rotWithShape="0">
                <a:gsLst>
                  <a:gs pos="0">
                    <a:srgbClr val="764700"/>
                  </a:gs>
                  <a:gs pos="50000">
                    <a:srgbClr val="FF9900"/>
                  </a:gs>
                  <a:gs pos="100000">
                    <a:srgbClr val="764700"/>
                  </a:gs>
                </a:gsLst>
                <a:lin ang="0" scaled="1"/>
              </a:gradFill>
              <a:ln w="12700">
                <a:solidFill>
                  <a:srgbClr val="000000"/>
                </a:solidFill>
                <a:prstDash val="solid"/>
              </a:ln>
            </c:spPr>
            <c:extLst>
              <c:ext xmlns:c16="http://schemas.microsoft.com/office/drawing/2014/chart" uri="{C3380CC4-5D6E-409C-BE32-E72D297353CC}">
                <c16:uniqueId val="{00000003-BC45-4D73-80CC-BA5F1CF29A44}"/>
              </c:ext>
            </c:extLst>
          </c:dPt>
          <c:dPt>
            <c:idx val="2"/>
            <c:invertIfNegative val="0"/>
            <c:bubble3D val="0"/>
            <c:spPr>
              <a:gradFill rotWithShape="0">
                <a:gsLst>
                  <a:gs pos="0">
                    <a:srgbClr val="FF0000"/>
                  </a:gs>
                  <a:gs pos="100000">
                    <a:srgbClr val="FF0000">
                      <a:gamma/>
                      <a:shade val="46275"/>
                      <a:invGamma/>
                    </a:srgbClr>
                  </a:gs>
                </a:gsLst>
                <a:lin ang="5400000" scaled="1"/>
              </a:gradFill>
              <a:ln w="12700">
                <a:solidFill>
                  <a:srgbClr val="000000"/>
                </a:solidFill>
                <a:prstDash val="solid"/>
              </a:ln>
            </c:spPr>
            <c:extLst>
              <c:ext xmlns:c16="http://schemas.microsoft.com/office/drawing/2014/chart" uri="{C3380CC4-5D6E-409C-BE32-E72D297353CC}">
                <c16:uniqueId val="{00000005-BC45-4D73-80CC-BA5F1CF29A44}"/>
              </c:ext>
            </c:extLst>
          </c:dPt>
          <c:dPt>
            <c:idx val="3"/>
            <c:invertIfNegative val="0"/>
            <c:bubble3D val="0"/>
            <c:spPr>
              <a:gradFill rotWithShape="0">
                <a:gsLst>
                  <a:gs pos="0">
                    <a:srgbClr val="000076"/>
                  </a:gs>
                  <a:gs pos="50000">
                    <a:srgbClr val="0000FF"/>
                  </a:gs>
                  <a:gs pos="100000">
                    <a:srgbClr val="000076"/>
                  </a:gs>
                </a:gsLst>
                <a:lin ang="0" scaled="1"/>
              </a:gradFill>
              <a:ln w="12700">
                <a:solidFill>
                  <a:srgbClr val="000000"/>
                </a:solidFill>
                <a:prstDash val="solid"/>
              </a:ln>
            </c:spPr>
            <c:extLst>
              <c:ext xmlns:c16="http://schemas.microsoft.com/office/drawing/2014/chart" uri="{C3380CC4-5D6E-409C-BE32-E72D297353CC}">
                <c16:uniqueId val="{00000007-BC45-4D73-80CC-BA5F1CF29A44}"/>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'Cumplimiento Objetivos '!$C$3:$C$6</c:f>
              <c:numCache>
                <c:formatCode>0.00%</c:formatCode>
                <c:ptCount val="4"/>
                <c:pt idx="0">
                  <c:v>0.92702690058479531</c:v>
                </c:pt>
                <c:pt idx="1">
                  <c:v>0.88888888888888884</c:v>
                </c:pt>
                <c:pt idx="2">
                  <c:v>0.93569062499999989</c:v>
                </c:pt>
                <c:pt idx="3">
                  <c:v>0.91720213815789464</c:v>
                </c:pt>
              </c:numCache>
            </c:numRef>
          </c:val>
          <c:extLst>
            <c:ext xmlns:c16="http://schemas.microsoft.com/office/drawing/2014/chart" uri="{C3380CC4-5D6E-409C-BE32-E72D297353CC}">
              <c16:uniqueId val="{00000008-BC45-4D73-80CC-BA5F1CF29A44}"/>
            </c:ext>
          </c:extLst>
        </c:ser>
        <c:ser>
          <c:idx val="0"/>
          <c:order val="1"/>
          <c:tx>
            <c:strRef>
              <c:f>'Cumplimiento Objetivos '!$D$2</c:f>
              <c:strCache>
                <c:ptCount val="1"/>
                <c:pt idx="0">
                  <c:v>2022-2</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'Cumplimiento Objetivos '!$D$3:$D$6</c:f>
              <c:numCache>
                <c:formatCode>0.00%</c:formatCode>
                <c:ptCount val="4"/>
                <c:pt idx="0">
                  <c:v>0.93286666666666662</c:v>
                </c:pt>
                <c:pt idx="1">
                  <c:v>0.9</c:v>
                </c:pt>
                <c:pt idx="2">
                  <c:v>0.94826435897435912</c:v>
                </c:pt>
                <c:pt idx="3">
                  <c:v>0.92704367521367514</c:v>
                </c:pt>
              </c:numCache>
            </c:numRef>
          </c:val>
          <c:extLst>
            <c:ext xmlns:c16="http://schemas.microsoft.com/office/drawing/2014/chart" uri="{C3380CC4-5D6E-409C-BE32-E72D297353CC}">
              <c16:uniqueId val="{00000009-BC45-4D73-80CC-BA5F1CF29A44}"/>
            </c:ext>
          </c:extLst>
        </c:ser>
        <c:ser>
          <c:idx val="2"/>
          <c:order val="2"/>
          <c:tx>
            <c:strRef>
              <c:f>'Cumplimiento Objetivos '!$E$2</c:f>
              <c:strCache>
                <c:ptCount val="1"/>
                <c:pt idx="0">
                  <c:v>AÑO 2022</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'Cumplimiento Objetivos '!$E$3:$E$6</c:f>
              <c:numCache>
                <c:formatCode>0.00%</c:formatCode>
                <c:ptCount val="4"/>
                <c:pt idx="0" formatCode="0%">
                  <c:v>0.92994678362573091</c:v>
                </c:pt>
                <c:pt idx="1">
                  <c:v>0.9</c:v>
                </c:pt>
                <c:pt idx="2" formatCode="0%">
                  <c:v>0.9419774919871795</c:v>
                </c:pt>
                <c:pt idx="3" formatCode="0%">
                  <c:v>0.92397475853763689</c:v>
                </c:pt>
              </c:numCache>
            </c:numRef>
          </c:val>
          <c:extLst>
            <c:ext xmlns:c16="http://schemas.microsoft.com/office/drawing/2014/chart" uri="{C3380CC4-5D6E-409C-BE32-E72D297353CC}">
              <c16:uniqueId val="{00000008-F2E8-49AC-A1C2-ACE155DEF530}"/>
            </c:ext>
          </c:extLst>
        </c:ser>
        <c:dLbls>
          <c:dLblPos val="outEnd"/>
          <c:showLegendKey val="0"/>
          <c:showVal val="1"/>
          <c:showCatName val="0"/>
          <c:showSerName val="0"/>
          <c:showPercent val="0"/>
          <c:showBubbleSize val="0"/>
        </c:dLbls>
        <c:gapWidth val="150"/>
        <c:overlap val="-25"/>
        <c:axId val="1530762320"/>
        <c:axId val="1530765584"/>
      </c:barChart>
      <c:catAx>
        <c:axId val="15307623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es-CO"/>
          </a:p>
        </c:txPr>
        <c:crossAx val="1530765584"/>
        <c:crosses val="autoZero"/>
        <c:auto val="0"/>
        <c:lblAlgn val="ctr"/>
        <c:lblOffset val="100"/>
        <c:tickLblSkip val="1"/>
        <c:tickMarkSkip val="1"/>
        <c:noMultiLvlLbl val="0"/>
      </c:catAx>
      <c:valAx>
        <c:axId val="1530765584"/>
        <c:scaling>
          <c:orientation val="minMax"/>
        </c:scaling>
        <c:delete val="1"/>
        <c:axPos val="l"/>
        <c:numFmt formatCode="0.00%" sourceLinked="1"/>
        <c:majorTickMark val="out"/>
        <c:minorTickMark val="none"/>
        <c:tickLblPos val="nextTo"/>
        <c:crossAx val="1530762320"/>
        <c:crosses val="autoZero"/>
        <c:crossBetween val="between"/>
      </c:valAx>
      <c:dTable>
        <c:showHorzBorder val="1"/>
        <c:showVertBorder val="1"/>
        <c:showOutline val="1"/>
        <c:showKeys val="1"/>
      </c:dTable>
      <c:spPr>
        <a:solidFill>
          <a:srgbClr val="C0C0C0"/>
        </a:solidFill>
        <a:ln w="12700">
          <a:solidFill>
            <a:srgbClr val="808080"/>
          </a:solidFill>
          <a:prstDash val="solid"/>
        </a:ln>
      </c:spPr>
    </c:plotArea>
    <c:legend>
      <c:legendPos val="t"/>
      <c:layout/>
      <c:overlay val="0"/>
    </c:legend>
    <c:plotVisOnly val="1"/>
    <c:dispBlanksAs val="gap"/>
    <c:showDLblsOverMax val="0"/>
  </c:chart>
  <c:spPr>
    <a:gradFill rotWithShape="0">
      <a:gsLst>
        <a:gs pos="0">
          <a:srgbClr val="FF6600">
            <a:gamma/>
            <a:shade val="46275"/>
            <a:invGamma/>
          </a:srgbClr>
        </a:gs>
        <a:gs pos="50000">
          <a:srgbClr val="FF6600"/>
        </a:gs>
        <a:gs pos="100000">
          <a:srgbClr val="FF6600">
            <a:gamma/>
            <a:shade val="46275"/>
            <a:invGamma/>
          </a:srgbClr>
        </a:gs>
      </a:gsLst>
      <a:lin ang="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144" r="0.750000000000001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027074583112726E-2"/>
          <c:y val="5.9760956175298939E-2"/>
          <c:w val="0.94774941538115276"/>
          <c:h val="0.88446215139442086"/>
        </c:manualLayout>
      </c:layout>
      <c:barChart>
        <c:barDir val="col"/>
        <c:grouping val="clustered"/>
        <c:varyColors val="0"/>
        <c:ser>
          <c:idx val="0"/>
          <c:order val="0"/>
          <c:spPr>
            <a:solidFill>
              <a:srgbClr val="8080FF"/>
            </a:solidFill>
            <a:ln w="12700">
              <a:solidFill>
                <a:srgbClr val="000000"/>
              </a:solidFill>
              <a:prstDash val="solid"/>
            </a:ln>
          </c:spPr>
          <c:invertIfNegative val="0"/>
          <c:dLbls>
            <c:dLbl>
              <c:idx val="0"/>
              <c:layout>
                <c:manualLayout>
                  <c:x val="2.6513941545752012E-3"/>
                  <c:y val="0.1876119132645046"/>
                </c:manualLayout>
              </c:layout>
              <c:tx>
                <c:rich>
                  <a:bodyPr/>
                  <a:lstStyle/>
                  <a:p>
                    <a:r>
                      <a:t>57,60%</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9A-4A23-A3E5-C592952AC103}"/>
                </c:ext>
              </c:extLst>
            </c:dLbl>
            <c:dLbl>
              <c:idx val="1"/>
              <c:layout>
                <c:manualLayout>
                  <c:x val="2.0749997115211299E-3"/>
                  <c:y val="0.17589953330730254"/>
                </c:manualLayout>
              </c:layout>
              <c:tx>
                <c:rich>
                  <a:bodyPr/>
                  <a:lstStyle/>
                  <a:p>
                    <a:r>
                      <a:t>79,00%</a:t>
                    </a:r>
                  </a:p>
                </c:rich>
              </c:tx>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9A-4A23-A3E5-C592952AC103}"/>
                </c:ext>
              </c:extLst>
            </c:dLbl>
            <c:dLbl>
              <c:idx val="3"/>
              <c:tx>
                <c:rich>
                  <a:bodyPr/>
                  <a:lstStyle/>
                  <a:p>
                    <a:r>
                      <a:t>100%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9A-4A23-A3E5-C592952AC103}"/>
                </c:ext>
              </c:extLst>
            </c:dLbl>
            <c:dLbl>
              <c:idx val="4"/>
              <c:tx>
                <c:rich>
                  <a:bodyPr/>
                  <a:lstStyle/>
                  <a:p>
                    <a:r>
                      <a:t>20,60%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9A-4A23-A3E5-C592952AC103}"/>
                </c:ext>
              </c:extLst>
            </c:dLbl>
            <c:spPr>
              <a:noFill/>
              <a:ln w="25400">
                <a:noFill/>
              </a:ln>
            </c:spPr>
            <c:txPr>
              <a:bodyPr/>
              <a:lstStyle/>
              <a:p>
                <a:pPr>
                  <a:defRPr sz="975"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'Cumplimiento Objetivos '!$A$35:$D$35</c:f>
            </c:numRef>
          </c:val>
          <c:extLst>
            <c:ext xmlns:c15="http://schemas.microsoft.com/office/drawing/2012/chart" uri="{02D57815-91ED-43cb-92C2-25804820EDAC}">
              <c15:filteredCategoryTitle>
                <c15:cat>
                  <c:multiLvlStrRef>
                    <c:extLst>
                      <c:ext uri="{02D57815-91ED-43cb-92C2-25804820EDAC}">
                        <c15:formulaRef>
                          <c15:sqref>'Cumplimiento Objetivos '!$A$34:$D$34</c15:sqref>
                        </c15:formulaRef>
                      </c:ext>
                    </c:extLst>
                  </c:multiLvlStrRef>
                </c15:cat>
              </c15:filteredCategoryTitle>
            </c:ext>
            <c:ext xmlns:c16="http://schemas.microsoft.com/office/drawing/2014/chart" uri="{C3380CC4-5D6E-409C-BE32-E72D297353CC}">
              <c16:uniqueId val="{00000004-DA9A-4A23-A3E5-C592952AC103}"/>
            </c:ext>
          </c:extLst>
        </c:ser>
        <c:dLbls>
          <c:showLegendKey val="0"/>
          <c:showVal val="0"/>
          <c:showCatName val="0"/>
          <c:showSerName val="0"/>
          <c:showPercent val="0"/>
          <c:showBubbleSize val="0"/>
        </c:dLbls>
        <c:gapWidth val="150"/>
        <c:axId val="1530766128"/>
        <c:axId val="1530766672"/>
      </c:barChart>
      <c:catAx>
        <c:axId val="1530766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CO"/>
          </a:p>
        </c:txPr>
        <c:crossAx val="1530766672"/>
        <c:crosses val="autoZero"/>
        <c:auto val="1"/>
        <c:lblAlgn val="ctr"/>
        <c:lblOffset val="100"/>
        <c:tickLblSkip val="1"/>
        <c:tickMarkSkip val="1"/>
        <c:noMultiLvlLbl val="0"/>
      </c:catAx>
      <c:valAx>
        <c:axId val="15307666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CO"/>
          </a:p>
        </c:txPr>
        <c:crossAx val="1530766128"/>
        <c:crosses val="autoZero"/>
        <c:crossBetween val="between"/>
        <c:majorUnit val="10"/>
      </c:valAx>
      <c:spPr>
        <a:solidFill>
          <a:srgbClr val="FFFFFF"/>
        </a:solidFill>
        <a:ln w="12700">
          <a:solidFill>
            <a:srgbClr val="808080"/>
          </a:solidFill>
          <a:prstDash val="solid"/>
        </a:ln>
      </c:spPr>
    </c:plotArea>
    <c:plotVisOnly val="1"/>
    <c:dispBlanksAs val="gap"/>
    <c:showDLblsOverMax val="0"/>
  </c:chart>
  <c:spPr>
    <a:gradFill rotWithShape="0">
      <a:gsLst>
        <a:gs pos="0">
          <a:srgbClr val="FF6600">
            <a:gamma/>
            <a:shade val="46275"/>
            <a:invGamma/>
          </a:srgbClr>
        </a:gs>
        <a:gs pos="50000">
          <a:srgbClr val="FF6600"/>
        </a:gs>
        <a:gs pos="100000">
          <a:srgbClr val="FF6600">
            <a:gamma/>
            <a:shade val="46275"/>
            <a:invGamma/>
          </a:srgbClr>
        </a:gs>
      </a:gsLst>
      <a:lin ang="0" scaled="1"/>
    </a:gra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s-CO"/>
    </a:p>
  </c:txPr>
  <c:printSettings>
    <c:headerFooter alignWithMargins="0"/>
    <c:pageMargins b="1" l="0.75000000000000144" r="0.75000000000000144"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EFICACIA</a:t>
            </a:r>
            <a:r>
              <a:rPr lang="es-CO" baseline="0"/>
              <a:t> DEL SGC</a:t>
            </a:r>
            <a:endParaRPr lang="es-CO"/>
          </a:p>
        </c:rich>
      </c:tx>
      <c:overlay val="0"/>
    </c:title>
    <c:autoTitleDeleted val="0"/>
    <c:plotArea>
      <c:layout/>
      <c:barChart>
        <c:barDir val="col"/>
        <c:grouping val="clustered"/>
        <c:varyColors val="0"/>
        <c:ser>
          <c:idx val="0"/>
          <c:order val="0"/>
          <c:invertIfNegative val="0"/>
          <c:dLbls>
            <c:spPr>
              <a:solidFill>
                <a:schemeClr val="accent2"/>
              </a:solidFill>
            </c:spPr>
            <c:txPr>
              <a:bodyPr/>
              <a:lstStyle/>
              <a:p>
                <a:pPr>
                  <a:defRPr>
                    <a:solidFill>
                      <a:schemeClr val="bg1"/>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'Eficacia del SGC (ajustado)'!$B$16:$L$16</c:f>
              <c:strCache>
                <c:ptCount val="11"/>
                <c:pt idx="0">
                  <c:v>2010-2</c:v>
                </c:pt>
                <c:pt idx="1">
                  <c:v>2011-1</c:v>
                </c:pt>
                <c:pt idx="2">
                  <c:v>2011-2</c:v>
                </c:pt>
                <c:pt idx="3">
                  <c:v>2012-1</c:v>
                </c:pt>
                <c:pt idx="4">
                  <c:v>2012-2</c:v>
                </c:pt>
                <c:pt idx="5">
                  <c:v>2013-1</c:v>
                </c:pt>
                <c:pt idx="6">
                  <c:v>2013-2</c:v>
                </c:pt>
                <c:pt idx="7">
                  <c:v>2014-1</c:v>
                </c:pt>
                <c:pt idx="8">
                  <c:v>2014-2</c:v>
                </c:pt>
                <c:pt idx="9">
                  <c:v>2015-1</c:v>
                </c:pt>
                <c:pt idx="10">
                  <c:v>2015-2</c:v>
                </c:pt>
              </c:strCache>
            </c:strRef>
          </c:cat>
          <c:val>
            <c:numRef>
              <c:f>'Eficacia del SGC (ajustado)'!$B$17:$L$17</c:f>
              <c:numCache>
                <c:formatCode>0.0%</c:formatCode>
                <c:ptCount val="11"/>
                <c:pt idx="0">
                  <c:v>2.4523999999999997E-2</c:v>
                </c:pt>
                <c:pt idx="1">
                  <c:v>2.5903999999999996E-2</c:v>
                </c:pt>
                <c:pt idx="2">
                  <c:v>2.6147916666666667E-2</c:v>
                </c:pt>
                <c:pt idx="3">
                  <c:v>2.1558065599999999E-2</c:v>
                </c:pt>
                <c:pt idx="4">
                  <c:v>2.3E-2</c:v>
                </c:pt>
                <c:pt idx="5">
                  <c:v>2.3719437499999999E-2</c:v>
                </c:pt>
                <c:pt idx="6">
                  <c:v>2.3599999999999999E-2</c:v>
                </c:pt>
                <c:pt idx="7">
                  <c:v>2.4E-2</c:v>
                </c:pt>
                <c:pt idx="8">
                  <c:v>2.3E-2</c:v>
                </c:pt>
                <c:pt idx="9">
                  <c:v>2.3E-2</c:v>
                </c:pt>
                <c:pt idx="10">
                  <c:v>2.1999999999999999E-2</c:v>
                </c:pt>
              </c:numCache>
            </c:numRef>
          </c:val>
          <c:extLst>
            <c:ext xmlns:c16="http://schemas.microsoft.com/office/drawing/2014/chart" uri="{C3380CC4-5D6E-409C-BE32-E72D297353CC}">
              <c16:uniqueId val="{00000000-33A3-4862-BCCF-815C35367FC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'Eficacia del SGC (ajustado)'!$B$16:$L$16</c:f>
              <c:strCache>
                <c:ptCount val="11"/>
                <c:pt idx="0">
                  <c:v>2010-2</c:v>
                </c:pt>
                <c:pt idx="1">
                  <c:v>2011-1</c:v>
                </c:pt>
                <c:pt idx="2">
                  <c:v>2011-2</c:v>
                </c:pt>
                <c:pt idx="3">
                  <c:v>2012-1</c:v>
                </c:pt>
                <c:pt idx="4">
                  <c:v>2012-2</c:v>
                </c:pt>
                <c:pt idx="5">
                  <c:v>2013-1</c:v>
                </c:pt>
                <c:pt idx="6">
                  <c:v>2013-2</c:v>
                </c:pt>
                <c:pt idx="7">
                  <c:v>2014-1</c:v>
                </c:pt>
                <c:pt idx="8">
                  <c:v>2014-2</c:v>
                </c:pt>
                <c:pt idx="9">
                  <c:v>2015-1</c:v>
                </c:pt>
                <c:pt idx="10">
                  <c:v>2015-2</c:v>
                </c:pt>
              </c:strCache>
            </c:strRef>
          </c:cat>
          <c:val>
            <c:numRef>
              <c:f>'Eficacia del SGC (ajustado)'!$B$18:$L$18</c:f>
              <c:numCache>
                <c:formatCode>0%</c:formatCode>
                <c:ptCount val="11"/>
                <c:pt idx="0">
                  <c:v>0.74</c:v>
                </c:pt>
                <c:pt idx="1">
                  <c:v>0.64</c:v>
                </c:pt>
                <c:pt idx="2" formatCode="0.00%">
                  <c:v>0.71779999999999999</c:v>
                </c:pt>
                <c:pt idx="3" formatCode="0.00%">
                  <c:v>0.91900000000000004</c:v>
                </c:pt>
                <c:pt idx="4" formatCode="0.00%">
                  <c:v>0.84899999999999998</c:v>
                </c:pt>
                <c:pt idx="5" formatCode="0.00%">
                  <c:v>0.79200000000000004</c:v>
                </c:pt>
                <c:pt idx="6" formatCode="0.00%">
                  <c:v>0.8</c:v>
                </c:pt>
                <c:pt idx="7" formatCode="0.00%">
                  <c:v>0.83</c:v>
                </c:pt>
                <c:pt idx="8" formatCode="0.00%">
                  <c:v>0.81</c:v>
                </c:pt>
                <c:pt idx="9" formatCode="0.00%">
                  <c:v>0.86</c:v>
                </c:pt>
                <c:pt idx="10" formatCode="0.00%">
                  <c:v>0.87</c:v>
                </c:pt>
              </c:numCache>
            </c:numRef>
          </c:val>
          <c:extLst>
            <c:ext xmlns:c16="http://schemas.microsoft.com/office/drawing/2014/chart" uri="{C3380CC4-5D6E-409C-BE32-E72D297353CC}">
              <c16:uniqueId val="{00000001-33A3-4862-BCCF-815C35367FC8}"/>
            </c:ext>
          </c:extLst>
        </c:ser>
        <c:dLbls>
          <c:showLegendKey val="0"/>
          <c:showVal val="1"/>
          <c:showCatName val="0"/>
          <c:showSerName val="0"/>
          <c:showPercent val="0"/>
          <c:showBubbleSize val="0"/>
        </c:dLbls>
        <c:gapWidth val="150"/>
        <c:overlap val="-25"/>
        <c:axId val="1530764496"/>
        <c:axId val="1530767216"/>
      </c:barChart>
      <c:catAx>
        <c:axId val="1530764496"/>
        <c:scaling>
          <c:orientation val="minMax"/>
        </c:scaling>
        <c:delete val="0"/>
        <c:axPos val="b"/>
        <c:numFmt formatCode="General" sourceLinked="0"/>
        <c:majorTickMark val="none"/>
        <c:minorTickMark val="none"/>
        <c:tickLblPos val="nextTo"/>
        <c:crossAx val="1530767216"/>
        <c:crosses val="autoZero"/>
        <c:auto val="1"/>
        <c:lblAlgn val="ctr"/>
        <c:lblOffset val="100"/>
        <c:noMultiLvlLbl val="0"/>
      </c:catAx>
      <c:valAx>
        <c:axId val="1530767216"/>
        <c:scaling>
          <c:orientation val="minMax"/>
        </c:scaling>
        <c:delete val="1"/>
        <c:axPos val="l"/>
        <c:numFmt formatCode="0.0%" sourceLinked="1"/>
        <c:majorTickMark val="out"/>
        <c:minorTickMark val="none"/>
        <c:tickLblPos val="nextTo"/>
        <c:crossAx val="153076449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EFICACIA</a:t>
            </a:r>
            <a:r>
              <a:rPr lang="es-CO" baseline="0"/>
              <a:t> DEL SISTEMA DE GESTIÓN DE CALIDAD</a:t>
            </a:r>
          </a:p>
          <a:p>
            <a:pPr>
              <a:defRPr/>
            </a:pPr>
            <a:r>
              <a:rPr lang="es-CO" baseline="0"/>
              <a:t>2022</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'Eficacia del SGC (ajustado)'!$D$44:$F$44</c:f>
              <c:strCache>
                <c:ptCount val="3"/>
                <c:pt idx="0">
                  <c:v>2022-1</c:v>
                </c:pt>
                <c:pt idx="1">
                  <c:v>2022-2</c:v>
                </c:pt>
                <c:pt idx="2">
                  <c:v>Año 2022</c:v>
                </c:pt>
              </c:strCache>
            </c:strRef>
          </c:cat>
          <c:val>
            <c:numRef>
              <c:f>'Eficacia del SGC (ajustado)'!$D$53:$F$53</c:f>
              <c:numCache>
                <c:formatCode>0.00%</c:formatCode>
                <c:ptCount val="3"/>
                <c:pt idx="0">
                  <c:v>0.89959518749999989</c:v>
                </c:pt>
                <c:pt idx="1">
                  <c:v>0.92724930769230762</c:v>
                </c:pt>
                <c:pt idx="2" formatCode="0%">
                  <c:v>0.91342224759615376</c:v>
                </c:pt>
              </c:numCache>
            </c:numRef>
          </c:val>
          <c:extLst>
            <c:ext xmlns:c16="http://schemas.microsoft.com/office/drawing/2014/chart" uri="{C3380CC4-5D6E-409C-BE32-E72D297353CC}">
              <c16:uniqueId val="{00000000-B611-4ED9-83EB-A62C1C7AFCB3}"/>
            </c:ext>
          </c:extLst>
        </c:ser>
        <c:dLbls>
          <c:dLblPos val="outEnd"/>
          <c:showLegendKey val="0"/>
          <c:showVal val="1"/>
          <c:showCatName val="0"/>
          <c:showSerName val="0"/>
          <c:showPercent val="0"/>
          <c:showBubbleSize val="0"/>
        </c:dLbls>
        <c:gapWidth val="219"/>
        <c:overlap val="-27"/>
        <c:axId val="1530765040"/>
        <c:axId val="1530763952"/>
      </c:barChart>
      <c:catAx>
        <c:axId val="153076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1530763952"/>
        <c:crosses val="autoZero"/>
        <c:auto val="1"/>
        <c:lblAlgn val="ctr"/>
        <c:lblOffset val="100"/>
        <c:noMultiLvlLbl val="0"/>
      </c:catAx>
      <c:valAx>
        <c:axId val="15307639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0765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0" i="0" u="none" strike="noStrike" kern="1200" spc="0" baseline="0">
                <a:solidFill>
                  <a:schemeClr val="tx1">
                    <a:lumMod val="65000"/>
                    <a:lumOff val="35000"/>
                  </a:schemeClr>
                </a:solidFill>
                <a:latin typeface="+mn-lt"/>
                <a:ea typeface="+mn-ea"/>
                <a:cs typeface="+mn-cs"/>
              </a:defRPr>
            </a:pPr>
            <a:r>
              <a:rPr lang="es-CO"/>
              <a:t>Resultado</a:t>
            </a:r>
            <a:r>
              <a:rPr lang="es-CO" baseline="0"/>
              <a:t> de auditorías internas de calidad</a:t>
            </a:r>
            <a:endParaRPr lang="es-CO"/>
          </a:p>
        </c:rich>
      </c:tx>
      <c:overlay val="0"/>
      <c:spPr>
        <a:noFill/>
        <a:ln>
          <a:noFill/>
        </a:ln>
        <a:effectLst/>
      </c:spPr>
      <c:txPr>
        <a:bodyPr rot="0" spcFirstLastPara="1" vertOverflow="ellipsis" vert="horz" wrap="square" anchor="ctr" anchorCtr="1"/>
        <a:lstStyle/>
        <a:p>
          <a:pPr>
            <a:defRPr sz="288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'ANEXO 2.Resultados aud.Inter'!$C$23</c:f>
              <c:strCache>
                <c:ptCount val="1"/>
                <c:pt idx="0">
                  <c:v>2006-II</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'ANEXO 2.Resultados aud.Inter'!$C$24</c:f>
              <c:numCache>
                <c:formatCode>General</c:formatCode>
                <c:ptCount val="1"/>
                <c:pt idx="0">
                  <c:v>49</c:v>
                </c:pt>
              </c:numCache>
            </c:numRef>
          </c:val>
          <c:extLst>
            <c:ext xmlns:c16="http://schemas.microsoft.com/office/drawing/2014/chart" uri="{C3380CC4-5D6E-409C-BE32-E72D297353CC}">
              <c16:uniqueId val="{00000000-D6E6-4A05-8408-1028AA8B701F}"/>
            </c:ext>
          </c:extLst>
        </c:ser>
        <c:ser>
          <c:idx val="1"/>
          <c:order val="1"/>
          <c:tx>
            <c:strRef>
              <c:f>'ANEXO 2.Resultados aud.Inter'!$D$23</c:f>
              <c:strCache>
                <c:ptCount val="1"/>
                <c:pt idx="0">
                  <c:v>2007</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'ANEXO 2.Resultados aud.Inter'!$D$24</c:f>
              <c:numCache>
                <c:formatCode>General</c:formatCode>
                <c:ptCount val="1"/>
                <c:pt idx="0">
                  <c:v>58</c:v>
                </c:pt>
              </c:numCache>
            </c:numRef>
          </c:val>
          <c:extLst>
            <c:ext xmlns:c16="http://schemas.microsoft.com/office/drawing/2014/chart" uri="{C3380CC4-5D6E-409C-BE32-E72D297353CC}">
              <c16:uniqueId val="{00000001-D6E6-4A05-8408-1028AA8B701F}"/>
            </c:ext>
          </c:extLst>
        </c:ser>
        <c:ser>
          <c:idx val="3"/>
          <c:order val="3"/>
          <c:tx>
            <c:strRef>
              <c:f>'ANEXO 2.Resultados aud.Inter'!$F$23</c:f>
              <c:strCache>
                <c:ptCount val="1"/>
                <c:pt idx="0">
                  <c:v>2008</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'ANEXO 2.Resultados aud.Inter'!$F$24</c:f>
              <c:numCache>
                <c:formatCode>General</c:formatCode>
                <c:ptCount val="1"/>
                <c:pt idx="0">
                  <c:v>46</c:v>
                </c:pt>
              </c:numCache>
            </c:numRef>
          </c:val>
          <c:extLst>
            <c:ext xmlns:c16="http://schemas.microsoft.com/office/drawing/2014/chart" uri="{C3380CC4-5D6E-409C-BE32-E72D297353CC}">
              <c16:uniqueId val="{00000003-D6E6-4A05-8408-1028AA8B701F}"/>
            </c:ext>
          </c:extLst>
        </c:ser>
        <c:ser>
          <c:idx val="5"/>
          <c:order val="5"/>
          <c:tx>
            <c:strRef>
              <c:f>'ANEXO 2.Resultados aud.Inter'!$H$23</c:f>
              <c:strCache>
                <c:ptCount val="1"/>
                <c:pt idx="0">
                  <c:v>2009</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'ANEXO 2.Resultados aud.Inter'!$H$24</c:f>
              <c:numCache>
                <c:formatCode>General</c:formatCode>
                <c:ptCount val="1"/>
                <c:pt idx="0">
                  <c:v>30</c:v>
                </c:pt>
              </c:numCache>
            </c:numRef>
          </c:val>
          <c:extLst>
            <c:ext xmlns:c16="http://schemas.microsoft.com/office/drawing/2014/chart" uri="{C3380CC4-5D6E-409C-BE32-E72D297353CC}">
              <c16:uniqueId val="{00000005-D6E6-4A05-8408-1028AA8B701F}"/>
            </c:ext>
          </c:extLst>
        </c:ser>
        <c:ser>
          <c:idx val="7"/>
          <c:order val="7"/>
          <c:tx>
            <c:strRef>
              <c:f>'ANEXO 2.Resultados aud.Inter'!$J$23</c:f>
              <c:strCache>
                <c:ptCount val="1"/>
                <c:pt idx="0">
                  <c:v>2010</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'ANEXO 2.Resultados aud.Inter'!$J$24</c:f>
              <c:numCache>
                <c:formatCode>General</c:formatCode>
                <c:ptCount val="1"/>
                <c:pt idx="0">
                  <c:v>9</c:v>
                </c:pt>
              </c:numCache>
            </c:numRef>
          </c:val>
          <c:extLst>
            <c:ext xmlns:c16="http://schemas.microsoft.com/office/drawing/2014/chart" uri="{C3380CC4-5D6E-409C-BE32-E72D297353CC}">
              <c16:uniqueId val="{00000007-D6E6-4A05-8408-1028AA8B701F}"/>
            </c:ext>
          </c:extLst>
        </c:ser>
        <c:ser>
          <c:idx val="9"/>
          <c:order val="9"/>
          <c:tx>
            <c:strRef>
              <c:f>'ANEXO 2.Resultados aud.Inter'!$L$23</c:f>
              <c:strCache>
                <c:ptCount val="1"/>
                <c:pt idx="0">
                  <c:v>2011</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'ANEXO 2.Resultados aud.Inter'!$L$24</c:f>
              <c:numCache>
                <c:formatCode>General</c:formatCode>
                <c:ptCount val="1"/>
                <c:pt idx="0">
                  <c:v>5</c:v>
                </c:pt>
              </c:numCache>
            </c:numRef>
          </c:val>
          <c:extLst>
            <c:ext xmlns:c16="http://schemas.microsoft.com/office/drawing/2014/chart" uri="{C3380CC4-5D6E-409C-BE32-E72D297353CC}">
              <c16:uniqueId val="{00000009-D6E6-4A05-8408-1028AA8B701F}"/>
            </c:ext>
          </c:extLst>
        </c:ser>
        <c:ser>
          <c:idx val="11"/>
          <c:order val="11"/>
          <c:tx>
            <c:strRef>
              <c:f>'ANEXO 2.Resultados aud.Inter'!$N$23</c:f>
              <c:strCache>
                <c:ptCount val="1"/>
                <c:pt idx="0">
                  <c:v>2012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'ANEXO 2.Resultados aud.Inter'!$N$24</c:f>
              <c:numCache>
                <c:formatCode>General</c:formatCode>
                <c:ptCount val="1"/>
                <c:pt idx="0">
                  <c:v>7</c:v>
                </c:pt>
              </c:numCache>
            </c:numRef>
          </c:val>
          <c:extLst>
            <c:ext xmlns:c16="http://schemas.microsoft.com/office/drawing/2014/chart" uri="{C3380CC4-5D6E-409C-BE32-E72D297353CC}">
              <c16:uniqueId val="{0000000B-D6E6-4A05-8408-1028AA8B701F}"/>
            </c:ext>
          </c:extLst>
        </c:ser>
        <c:ser>
          <c:idx val="13"/>
          <c:order val="13"/>
          <c:tx>
            <c:strRef>
              <c:f>'ANEXO 2.Resultados aud.Inter'!$P$23</c:f>
              <c:strCache>
                <c:ptCount val="1"/>
                <c:pt idx="0">
                  <c:v>2013</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'ANEXO 2.Resultados aud.Inter'!$P$24</c:f>
              <c:numCache>
                <c:formatCode>General</c:formatCode>
                <c:ptCount val="1"/>
                <c:pt idx="0">
                  <c:v>8</c:v>
                </c:pt>
              </c:numCache>
            </c:numRef>
          </c:val>
          <c:extLst>
            <c:ext xmlns:c16="http://schemas.microsoft.com/office/drawing/2014/chart" uri="{C3380CC4-5D6E-409C-BE32-E72D297353CC}">
              <c16:uniqueId val="{0000000D-D6E6-4A05-8408-1028AA8B701F}"/>
            </c:ext>
          </c:extLst>
        </c:ser>
        <c:ser>
          <c:idx val="15"/>
          <c:order val="15"/>
          <c:tx>
            <c:strRef>
              <c:f>'ANEXO 2.Resultados aud.Inter'!$R$23</c:f>
              <c:strCache>
                <c:ptCount val="1"/>
                <c:pt idx="0">
                  <c:v>2014</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'ANEXO 2.Resultados aud.Inter'!$R$24</c:f>
              <c:numCache>
                <c:formatCode>General</c:formatCode>
                <c:ptCount val="1"/>
                <c:pt idx="0">
                  <c:v>0</c:v>
                </c:pt>
              </c:numCache>
            </c:numRef>
          </c:val>
          <c:extLst>
            <c:ext xmlns:c16="http://schemas.microsoft.com/office/drawing/2014/chart" uri="{C3380CC4-5D6E-409C-BE32-E72D297353CC}">
              <c16:uniqueId val="{0000000F-D6E6-4A05-8408-1028AA8B701F}"/>
            </c:ext>
          </c:extLst>
        </c:ser>
        <c:ser>
          <c:idx val="17"/>
          <c:order val="17"/>
          <c:tx>
            <c:strRef>
              <c:f>'ANEXO 2.Resultados aud.Inter'!$T$23</c:f>
              <c:strCache>
                <c:ptCount val="1"/>
                <c:pt idx="0">
                  <c:v>2015</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'ANEXO 2.Resultados aud.Inter'!$T$24</c:f>
              <c:numCache>
                <c:formatCode>General</c:formatCode>
                <c:ptCount val="1"/>
                <c:pt idx="0">
                  <c:v>5</c:v>
                </c:pt>
              </c:numCache>
            </c:numRef>
          </c:val>
          <c:extLst>
            <c:ext xmlns:c16="http://schemas.microsoft.com/office/drawing/2014/chart" uri="{C3380CC4-5D6E-409C-BE32-E72D297353CC}">
              <c16:uniqueId val="{00000011-D6E6-4A05-8408-1028AA8B701F}"/>
            </c:ext>
          </c:extLst>
        </c:ser>
        <c:ser>
          <c:idx val="19"/>
          <c:order val="19"/>
          <c:tx>
            <c:strRef>
              <c:f>'ANEXO 2.Resultados aud.Inter'!$V$23</c:f>
              <c:strCache>
                <c:ptCount val="1"/>
                <c:pt idx="0">
                  <c:v>2016</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'ANEXO 2.Resultados aud.Inter'!$V$24</c:f>
              <c:numCache>
                <c:formatCode>General</c:formatCode>
                <c:ptCount val="1"/>
                <c:pt idx="0">
                  <c:v>8</c:v>
                </c:pt>
              </c:numCache>
            </c:numRef>
          </c:val>
          <c:extLst>
            <c:ext xmlns:c16="http://schemas.microsoft.com/office/drawing/2014/chart" uri="{C3380CC4-5D6E-409C-BE32-E72D297353CC}">
              <c16:uniqueId val="{00000013-D6E6-4A05-8408-1028AA8B701F}"/>
            </c:ext>
          </c:extLst>
        </c:ser>
        <c:ser>
          <c:idx val="21"/>
          <c:order val="21"/>
          <c:tx>
            <c:strRef>
              <c:f>'ANEXO 2.Resultados aud.Inter'!$X$23</c:f>
              <c:strCache>
                <c:ptCount val="1"/>
                <c:pt idx="0">
                  <c:v>2017</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'ANEXO 2.Resultados aud.Inter'!$X$24</c:f>
              <c:numCache>
                <c:formatCode>General</c:formatCode>
                <c:ptCount val="1"/>
                <c:pt idx="0">
                  <c:v>8</c:v>
                </c:pt>
              </c:numCache>
            </c:numRef>
          </c:val>
          <c:extLst>
            <c:ext xmlns:c16="http://schemas.microsoft.com/office/drawing/2014/chart" uri="{C3380CC4-5D6E-409C-BE32-E72D297353CC}">
              <c16:uniqueId val="{00000015-D6E6-4A05-8408-1028AA8B701F}"/>
            </c:ext>
          </c:extLst>
        </c:ser>
        <c:dLbls>
          <c:dLblPos val="outEnd"/>
          <c:showLegendKey val="0"/>
          <c:showVal val="1"/>
          <c:showCatName val="0"/>
          <c:showSerName val="0"/>
          <c:showPercent val="0"/>
          <c:showBubbleSize val="0"/>
        </c:dLbls>
        <c:gapWidth val="219"/>
        <c:overlap val="-27"/>
        <c:axId val="1530760144"/>
        <c:axId val="1530760688"/>
        <c:extLst>
          <c:ext xmlns:c15="http://schemas.microsoft.com/office/drawing/2012/chart" uri="{02D57815-91ED-43cb-92C2-25804820EDAC}">
            <c15:filteredBarSeries>
              <c15:ser>
                <c:idx val="2"/>
                <c:order val="2"/>
                <c:tx>
                  <c:strRef>
                    <c:extLst>
                      <c:ext uri="{02D57815-91ED-43cb-92C2-25804820EDAC}">
                        <c15:formulaRef>
                          <c15:sqref>'ANEXO 2.Resultados aud.Inter'!$E$23</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'ANEXO 2.Resultados aud.Inter'!$E$24</c15:sqref>
                        </c15:formulaRef>
                      </c:ext>
                    </c:extLst>
                    <c:numCache>
                      <c:formatCode>General</c:formatCode>
                      <c:ptCount val="1"/>
                    </c:numCache>
                  </c:numRef>
                </c:val>
                <c:extLst>
                  <c:ext xmlns:c16="http://schemas.microsoft.com/office/drawing/2014/chart" uri="{C3380CC4-5D6E-409C-BE32-E72D297353CC}">
                    <c16:uniqueId val="{00000002-D6E6-4A05-8408-1028AA8B701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'ANEXO 2.Resultados aud.Inter'!$G$23</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'ANEXO 2.Resultados aud.Inter'!$G$24</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4-D6E6-4A05-8408-1028AA8B701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'ANEXO 2.Resultados aud.Inter'!$I$23</c15:sqref>
                        </c15:formulaRef>
                      </c:ext>
                    </c:extLst>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'ANEXO 2.Resultados aud.Inter'!$I$24</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6-D6E6-4A05-8408-1028AA8B701F}"/>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'ANEXO 2.Resultados aud.Inter'!$K$23</c15:sqref>
                        </c15:formulaRef>
                      </c:ext>
                    </c:extLst>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'ANEXO 2.Resultados aud.Inter'!$K$24</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8-D6E6-4A05-8408-1028AA8B701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'ANEXO 2.Resultados aud.Inter'!$M$23</c15:sqref>
                        </c15:formulaRef>
                      </c:ext>
                    </c:extLst>
                    <c:strCache>
                      <c:ptCount val="1"/>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'ANEXO 2.Resultados aud.Inter'!$M$24</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A-D6E6-4A05-8408-1028AA8B701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'ANEXO 2.Resultados aud.Inter'!$O$23</c15:sqref>
                        </c15:formulaRef>
                      </c:ext>
                    </c:extLst>
                    <c:strCache>
                      <c:ptCount val="1"/>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'ANEXO 2.Resultados aud.Inter'!$O$24</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C-D6E6-4A05-8408-1028AA8B701F}"/>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'ANEXO 2.Resultados aud.Inter'!$Q$23</c15:sqref>
                        </c15:formulaRef>
                      </c:ext>
                    </c:extLst>
                    <c:strCache>
                      <c:ptCount val="1"/>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'ANEXO 2.Resultados aud.Inter'!$Q$24</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E-D6E6-4A05-8408-1028AA8B701F}"/>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'ANEXO 2.Resultados aud.Inter'!$S$23</c15:sqref>
                        </c15:formulaRef>
                      </c:ext>
                    </c:extLst>
                    <c:strCache>
                      <c:ptCount val="1"/>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'ANEXO 2.Resultados aud.Inter'!$S$24</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10-D6E6-4A05-8408-1028AA8B701F}"/>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'ANEXO 2.Resultados aud.Inter'!$U$23</c15:sqref>
                        </c15:formulaRef>
                      </c:ext>
                    </c:extLst>
                    <c:strCache>
                      <c:ptCount val="1"/>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'ANEXO 2.Resultados aud.Inter'!$U$24</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12-D6E6-4A05-8408-1028AA8B701F}"/>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'ANEXO 2.Resultados aud.Inter'!$W$23</c15:sqref>
                        </c15:formulaRef>
                      </c:ext>
                    </c:extLst>
                    <c:strCache>
                      <c:ptCount val="1"/>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'ANEXO 2.Resultados aud.Inter'!$W$24</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14-D6E6-4A05-8408-1028AA8B701F}"/>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'ANEXO 2.Resultados aud.Inter'!$Y$23</c15:sqref>
                        </c15:formulaRef>
                      </c:ext>
                    </c:extLst>
                    <c:strCache>
                      <c:ptCount val="1"/>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'ANEXO 2.Resultados aud.Inter'!$Y$24</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16-D6E6-4A05-8408-1028AA8B701F}"/>
                  </c:ext>
                </c:extLst>
              </c15:ser>
            </c15:filteredBarSeries>
          </c:ext>
        </c:extLst>
      </c:barChart>
      <c:catAx>
        <c:axId val="153076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crossAx val="1530760688"/>
        <c:crosses val="autoZero"/>
        <c:auto val="1"/>
        <c:lblAlgn val="ctr"/>
        <c:lblOffset val="100"/>
        <c:noMultiLvlLbl val="0"/>
      </c:catAx>
      <c:valAx>
        <c:axId val="1530760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crossAx val="153076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400"/>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0" i="0" u="none" strike="noStrike" kern="1200" spc="0" baseline="0">
                <a:solidFill>
                  <a:schemeClr val="tx1">
                    <a:lumMod val="65000"/>
                    <a:lumOff val="35000"/>
                  </a:schemeClr>
                </a:solidFill>
                <a:latin typeface="+mn-lt"/>
                <a:ea typeface="+mn-ea"/>
                <a:cs typeface="+mn-cs"/>
              </a:defRPr>
            </a:pPr>
            <a:r>
              <a:rPr lang="es-CO"/>
              <a:t>Resultado</a:t>
            </a:r>
            <a:r>
              <a:rPr lang="es-CO" baseline="0"/>
              <a:t> de auditorías internas de calidad</a:t>
            </a:r>
            <a:endParaRPr lang="es-CO"/>
          </a:p>
        </c:rich>
      </c:tx>
      <c:overlay val="0"/>
      <c:spPr>
        <a:noFill/>
        <a:ln>
          <a:noFill/>
        </a:ln>
        <a:effectLst/>
      </c:spPr>
      <c:txPr>
        <a:bodyPr rot="0" spcFirstLastPara="1" vertOverflow="ellipsis" vert="horz" wrap="square" anchor="ctr" anchorCtr="1"/>
        <a:lstStyle/>
        <a:p>
          <a:pPr>
            <a:defRPr sz="288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'[4]Resultados aud.Inter'!$C$23</c:f>
              <c:strCache>
                <c:ptCount val="1"/>
                <c:pt idx="0">
                  <c:v>2006-II</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'[4]Resultados aud.Inter'!$C$24</c:f>
              <c:numCache>
                <c:formatCode>General</c:formatCode>
                <c:ptCount val="1"/>
                <c:pt idx="0">
                  <c:v>49</c:v>
                </c:pt>
              </c:numCache>
            </c:numRef>
          </c:val>
          <c:extLst>
            <c:ext xmlns:c16="http://schemas.microsoft.com/office/drawing/2014/chart" uri="{C3380CC4-5D6E-409C-BE32-E72D297353CC}">
              <c16:uniqueId val="{00000000-8A54-46F1-8040-125AC486899B}"/>
            </c:ext>
          </c:extLst>
        </c:ser>
        <c:ser>
          <c:idx val="1"/>
          <c:order val="1"/>
          <c:tx>
            <c:strRef>
              <c:f>'[4]Resultados aud.Inter'!$D$23</c:f>
              <c:strCache>
                <c:ptCount val="1"/>
                <c:pt idx="0">
                  <c:v>2007</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'[4]Resultados aud.Inter'!$D$24</c:f>
              <c:numCache>
                <c:formatCode>General</c:formatCode>
                <c:ptCount val="1"/>
                <c:pt idx="0">
                  <c:v>58</c:v>
                </c:pt>
              </c:numCache>
            </c:numRef>
          </c:val>
          <c:extLst>
            <c:ext xmlns:c16="http://schemas.microsoft.com/office/drawing/2014/chart" uri="{C3380CC4-5D6E-409C-BE32-E72D297353CC}">
              <c16:uniqueId val="{00000001-8A54-46F1-8040-125AC486899B}"/>
            </c:ext>
          </c:extLst>
        </c:ser>
        <c:ser>
          <c:idx val="3"/>
          <c:order val="3"/>
          <c:tx>
            <c:strRef>
              <c:f>'[4]Resultados aud.Inter'!$F$23</c:f>
              <c:strCache>
                <c:ptCount val="1"/>
                <c:pt idx="0">
                  <c:v>2008</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'[4]Resultados aud.Inter'!$F$24</c:f>
              <c:numCache>
                <c:formatCode>General</c:formatCode>
                <c:ptCount val="1"/>
                <c:pt idx="0">
                  <c:v>46</c:v>
                </c:pt>
              </c:numCache>
            </c:numRef>
          </c:val>
          <c:extLst>
            <c:ext xmlns:c16="http://schemas.microsoft.com/office/drawing/2014/chart" uri="{C3380CC4-5D6E-409C-BE32-E72D297353CC}">
              <c16:uniqueId val="{00000002-8A54-46F1-8040-125AC486899B}"/>
            </c:ext>
          </c:extLst>
        </c:ser>
        <c:ser>
          <c:idx val="5"/>
          <c:order val="5"/>
          <c:tx>
            <c:strRef>
              <c:f>'[4]Resultados aud.Inter'!$H$23</c:f>
              <c:strCache>
                <c:ptCount val="1"/>
                <c:pt idx="0">
                  <c:v>2009</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'[4]Resultados aud.Inter'!$H$24</c:f>
              <c:numCache>
                <c:formatCode>General</c:formatCode>
                <c:ptCount val="1"/>
                <c:pt idx="0">
                  <c:v>30</c:v>
                </c:pt>
              </c:numCache>
            </c:numRef>
          </c:val>
          <c:extLst>
            <c:ext xmlns:c16="http://schemas.microsoft.com/office/drawing/2014/chart" uri="{C3380CC4-5D6E-409C-BE32-E72D297353CC}">
              <c16:uniqueId val="{00000003-8A54-46F1-8040-125AC486899B}"/>
            </c:ext>
          </c:extLst>
        </c:ser>
        <c:ser>
          <c:idx val="7"/>
          <c:order val="7"/>
          <c:tx>
            <c:strRef>
              <c:f>'[4]Resultados aud.Inter'!$J$23</c:f>
              <c:strCache>
                <c:ptCount val="1"/>
                <c:pt idx="0">
                  <c:v>2010</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'[4]Resultados aud.Inter'!$J$24</c:f>
              <c:numCache>
                <c:formatCode>General</c:formatCode>
                <c:ptCount val="1"/>
                <c:pt idx="0">
                  <c:v>9</c:v>
                </c:pt>
              </c:numCache>
            </c:numRef>
          </c:val>
          <c:extLst>
            <c:ext xmlns:c16="http://schemas.microsoft.com/office/drawing/2014/chart" uri="{C3380CC4-5D6E-409C-BE32-E72D297353CC}">
              <c16:uniqueId val="{00000004-8A54-46F1-8040-125AC486899B}"/>
            </c:ext>
          </c:extLst>
        </c:ser>
        <c:ser>
          <c:idx val="9"/>
          <c:order val="9"/>
          <c:tx>
            <c:strRef>
              <c:f>'[4]Resultados aud.Inter'!$L$23</c:f>
              <c:strCache>
                <c:ptCount val="1"/>
                <c:pt idx="0">
                  <c:v>2011</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'[4]Resultados aud.Inter'!$L$24</c:f>
              <c:numCache>
                <c:formatCode>General</c:formatCode>
                <c:ptCount val="1"/>
                <c:pt idx="0">
                  <c:v>5</c:v>
                </c:pt>
              </c:numCache>
            </c:numRef>
          </c:val>
          <c:extLst>
            <c:ext xmlns:c16="http://schemas.microsoft.com/office/drawing/2014/chart" uri="{C3380CC4-5D6E-409C-BE32-E72D297353CC}">
              <c16:uniqueId val="{00000005-8A54-46F1-8040-125AC486899B}"/>
            </c:ext>
          </c:extLst>
        </c:ser>
        <c:ser>
          <c:idx val="11"/>
          <c:order val="11"/>
          <c:tx>
            <c:strRef>
              <c:f>'[4]Resultados aud.Inter'!$N$23</c:f>
              <c:strCache>
                <c:ptCount val="1"/>
                <c:pt idx="0">
                  <c:v>2012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'[4]Resultados aud.Inter'!$N$24</c:f>
              <c:numCache>
                <c:formatCode>General</c:formatCode>
                <c:ptCount val="1"/>
                <c:pt idx="0">
                  <c:v>7</c:v>
                </c:pt>
              </c:numCache>
            </c:numRef>
          </c:val>
          <c:extLst>
            <c:ext xmlns:c16="http://schemas.microsoft.com/office/drawing/2014/chart" uri="{C3380CC4-5D6E-409C-BE32-E72D297353CC}">
              <c16:uniqueId val="{00000006-8A54-46F1-8040-125AC486899B}"/>
            </c:ext>
          </c:extLst>
        </c:ser>
        <c:ser>
          <c:idx val="13"/>
          <c:order val="13"/>
          <c:tx>
            <c:strRef>
              <c:f>'[4]Resultados aud.Inter'!$P$23</c:f>
              <c:strCache>
                <c:ptCount val="1"/>
                <c:pt idx="0">
                  <c:v>2013</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'[4]Resultados aud.Inter'!$P$24</c:f>
              <c:numCache>
                <c:formatCode>General</c:formatCode>
                <c:ptCount val="1"/>
                <c:pt idx="0">
                  <c:v>8</c:v>
                </c:pt>
              </c:numCache>
            </c:numRef>
          </c:val>
          <c:extLst>
            <c:ext xmlns:c16="http://schemas.microsoft.com/office/drawing/2014/chart" uri="{C3380CC4-5D6E-409C-BE32-E72D297353CC}">
              <c16:uniqueId val="{00000007-8A54-46F1-8040-125AC486899B}"/>
            </c:ext>
          </c:extLst>
        </c:ser>
        <c:ser>
          <c:idx val="15"/>
          <c:order val="15"/>
          <c:tx>
            <c:strRef>
              <c:f>'[4]Resultados aud.Inter'!$R$23</c:f>
              <c:strCache>
                <c:ptCount val="1"/>
                <c:pt idx="0">
                  <c:v>2014</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'[4]Resultados aud.Inter'!$R$24</c:f>
              <c:numCache>
                <c:formatCode>General</c:formatCode>
                <c:ptCount val="1"/>
                <c:pt idx="0">
                  <c:v>0</c:v>
                </c:pt>
              </c:numCache>
            </c:numRef>
          </c:val>
          <c:extLst>
            <c:ext xmlns:c16="http://schemas.microsoft.com/office/drawing/2014/chart" uri="{C3380CC4-5D6E-409C-BE32-E72D297353CC}">
              <c16:uniqueId val="{00000008-8A54-46F1-8040-125AC486899B}"/>
            </c:ext>
          </c:extLst>
        </c:ser>
        <c:ser>
          <c:idx val="17"/>
          <c:order val="17"/>
          <c:tx>
            <c:strRef>
              <c:f>'[4]Resultados aud.Inter'!$T$23</c:f>
              <c:strCache>
                <c:ptCount val="1"/>
                <c:pt idx="0">
                  <c:v>2015</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'[4]Resultados aud.Inter'!$T$24</c:f>
              <c:numCache>
                <c:formatCode>General</c:formatCode>
                <c:ptCount val="1"/>
                <c:pt idx="0">
                  <c:v>5</c:v>
                </c:pt>
              </c:numCache>
            </c:numRef>
          </c:val>
          <c:extLst>
            <c:ext xmlns:c16="http://schemas.microsoft.com/office/drawing/2014/chart" uri="{C3380CC4-5D6E-409C-BE32-E72D297353CC}">
              <c16:uniqueId val="{00000009-8A54-46F1-8040-125AC486899B}"/>
            </c:ext>
          </c:extLst>
        </c:ser>
        <c:ser>
          <c:idx val="19"/>
          <c:order val="19"/>
          <c:tx>
            <c:strRef>
              <c:f>'[4]Resultados aud.Inter'!$V$23</c:f>
              <c:strCache>
                <c:ptCount val="1"/>
                <c:pt idx="0">
                  <c:v>2016</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'[4]Resultados aud.Inter'!$V$24</c:f>
              <c:numCache>
                <c:formatCode>General</c:formatCode>
                <c:ptCount val="1"/>
                <c:pt idx="0">
                  <c:v>8</c:v>
                </c:pt>
              </c:numCache>
            </c:numRef>
          </c:val>
          <c:extLst>
            <c:ext xmlns:c16="http://schemas.microsoft.com/office/drawing/2014/chart" uri="{C3380CC4-5D6E-409C-BE32-E72D297353CC}">
              <c16:uniqueId val="{0000000A-8A54-46F1-8040-125AC486899B}"/>
            </c:ext>
          </c:extLst>
        </c:ser>
        <c:ser>
          <c:idx val="21"/>
          <c:order val="21"/>
          <c:tx>
            <c:strRef>
              <c:f>'[4]Resultados aud.Inter'!$X$23</c:f>
              <c:strCache>
                <c:ptCount val="1"/>
                <c:pt idx="0">
                  <c:v>2017</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'[4]Resultados aud.Inter'!$X$24</c:f>
              <c:numCache>
                <c:formatCode>General</c:formatCode>
                <c:ptCount val="1"/>
                <c:pt idx="0">
                  <c:v>8</c:v>
                </c:pt>
              </c:numCache>
            </c:numRef>
          </c:val>
          <c:extLst>
            <c:ext xmlns:c16="http://schemas.microsoft.com/office/drawing/2014/chart" uri="{C3380CC4-5D6E-409C-BE32-E72D297353CC}">
              <c16:uniqueId val="{0000000B-8A54-46F1-8040-125AC486899B}"/>
            </c:ext>
          </c:extLst>
        </c:ser>
        <c:dLbls>
          <c:dLblPos val="outEnd"/>
          <c:showLegendKey val="0"/>
          <c:showVal val="1"/>
          <c:showCatName val="0"/>
          <c:showSerName val="0"/>
          <c:showPercent val="0"/>
          <c:showBubbleSize val="0"/>
        </c:dLbls>
        <c:gapWidth val="219"/>
        <c:overlap val="-27"/>
        <c:axId val="1530760144"/>
        <c:axId val="1530760688"/>
        <c:extLst>
          <c:ext xmlns:c15="http://schemas.microsoft.com/office/drawing/2012/chart" uri="{02D57815-91ED-43cb-92C2-25804820EDAC}">
            <c15:filteredBarSeries>
              <c15:ser>
                <c:idx val="2"/>
                <c:order val="2"/>
                <c:tx>
                  <c:strRef>
                    <c:extLst>
                      <c:ext uri="{02D57815-91ED-43cb-92C2-25804820EDAC}">
                        <c15:formulaRef>
                          <c15:sqref>'[4]Resultados aud.Inter'!$E$23</c15:sqref>
                        </c15:formulaRef>
                      </c:ext>
                    </c:extLst>
                    <c:strCache>
                      <c:ptCount val="1"/>
                      <c:pt idx="0">
                        <c:v>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'[4]Resultados aud.Inter'!$E$24</c15:sqref>
                        </c15:formulaRef>
                      </c:ext>
                    </c:extLst>
                    <c:numCache>
                      <c:formatCode>General</c:formatCode>
                      <c:ptCount val="1"/>
                      <c:pt idx="0">
                        <c:v>0</c:v>
                      </c:pt>
                    </c:numCache>
                  </c:numRef>
                </c:val>
                <c:extLst>
                  <c:ext xmlns:c16="http://schemas.microsoft.com/office/drawing/2014/chart" uri="{C3380CC4-5D6E-409C-BE32-E72D297353CC}">
                    <c16:uniqueId val="{0000000C-8A54-46F1-8040-125AC486899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'[4]Resultados aud.Inter'!$G$23</c15:sqref>
                        </c15:formulaRef>
                      </c:ext>
                    </c:extLst>
                    <c:strCache>
                      <c:ptCount val="1"/>
                      <c:pt idx="0">
                        <c:v>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'[4]Resultados aud.Inter'!$G$24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0D-8A54-46F1-8040-125AC486899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'[4]Resultados aud.Inter'!$I$23</c15:sqref>
                        </c15:formulaRef>
                      </c:ext>
                    </c:extLst>
                    <c:strCache>
                      <c:ptCount val="1"/>
                      <c:pt idx="0">
                        <c:v>0</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'[4]Resultados aud.Inter'!$I$24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0E-8A54-46F1-8040-125AC486899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'[4]Resultados aud.Inter'!$K$23</c15:sqref>
                        </c15:formulaRef>
                      </c:ext>
                    </c:extLst>
                    <c:strCache>
                      <c:ptCount val="1"/>
                      <c:pt idx="0">
                        <c:v>0</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'[4]Resultados aud.Inter'!$K$24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0F-8A54-46F1-8040-125AC486899B}"/>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'[4]Resultados aud.Inter'!$M$23</c15:sqref>
                        </c15:formulaRef>
                      </c:ext>
                    </c:extLst>
                    <c:strCache>
                      <c:ptCount val="1"/>
                      <c:pt idx="0">
                        <c:v>0</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'[4]Resultados aud.Inter'!$M$24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0-8A54-46F1-8040-125AC486899B}"/>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'[4]Resultados aud.Inter'!$O$23</c15:sqref>
                        </c15:formulaRef>
                      </c:ext>
                    </c:extLst>
                    <c:strCache>
                      <c:ptCount val="1"/>
                      <c:pt idx="0">
                        <c:v>0</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'[4]Resultados aud.Inter'!$O$24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1-8A54-46F1-8040-125AC486899B}"/>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'[4]Resultados aud.Inter'!$Q$23</c15:sqref>
                        </c15:formulaRef>
                      </c:ext>
                    </c:extLst>
                    <c:strCache>
                      <c:ptCount val="1"/>
                      <c:pt idx="0">
                        <c:v>0</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'[4]Resultados aud.Inter'!$Q$24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2-8A54-46F1-8040-125AC486899B}"/>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'[4]Resultados aud.Inter'!$S$23</c15:sqref>
                        </c15:formulaRef>
                      </c:ext>
                    </c:extLst>
                    <c:strCache>
                      <c:ptCount val="1"/>
                      <c:pt idx="0">
                        <c:v>0</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'[4]Resultados aud.Inter'!$S$24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3-8A54-46F1-8040-125AC486899B}"/>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'[4]Resultados aud.Inter'!$U$23</c15:sqref>
                        </c15:formulaRef>
                      </c:ext>
                    </c:extLst>
                    <c:strCache>
                      <c:ptCount val="1"/>
                      <c:pt idx="0">
                        <c:v>0</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'[4]Resultados aud.Inter'!$U$24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4-8A54-46F1-8040-125AC486899B}"/>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'[4]Resultados aud.Inter'!$W$23</c15:sqref>
                        </c15:formulaRef>
                      </c:ext>
                    </c:extLst>
                    <c:strCache>
                      <c:ptCount val="1"/>
                      <c:pt idx="0">
                        <c:v>0</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'[4]Resultados aud.Inter'!$W$24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5-8A54-46F1-8040-125AC486899B}"/>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'[4]Resultados aud.Inter'!$Y$23</c15:sqref>
                        </c15:formulaRef>
                      </c:ext>
                    </c:extLst>
                    <c:strCache>
                      <c:ptCount val="1"/>
                      <c:pt idx="0">
                        <c:v>0</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'[4]Resultados aud.Inter'!$Y$24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6-8A54-46F1-8040-125AC486899B}"/>
                  </c:ext>
                </c:extLst>
              </c15:ser>
            </c15:filteredBarSeries>
          </c:ext>
        </c:extLst>
      </c:barChart>
      <c:catAx>
        <c:axId val="153076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crossAx val="1530760688"/>
        <c:crosses val="autoZero"/>
        <c:auto val="1"/>
        <c:lblAlgn val="ctr"/>
        <c:lblOffset val="100"/>
        <c:noMultiLvlLbl val="0"/>
      </c:catAx>
      <c:valAx>
        <c:axId val="1530760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crossAx val="153076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400"/>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0" i="0" u="none" strike="noStrike" kern="1200" spc="0" baseline="0">
                <a:solidFill>
                  <a:schemeClr val="tx1">
                    <a:lumMod val="65000"/>
                    <a:lumOff val="35000"/>
                  </a:schemeClr>
                </a:solidFill>
                <a:latin typeface="+mn-lt"/>
                <a:ea typeface="+mn-ea"/>
                <a:cs typeface="+mn-cs"/>
              </a:defRPr>
            </a:pPr>
            <a:r>
              <a:rPr lang="es-CO"/>
              <a:t>Resultado</a:t>
            </a:r>
            <a:r>
              <a:rPr lang="es-CO" baseline="0"/>
              <a:t> de auditorías internas de calidad</a:t>
            </a:r>
            <a:endParaRPr lang="es-CO"/>
          </a:p>
        </c:rich>
      </c:tx>
      <c:overlay val="0"/>
      <c:spPr>
        <a:noFill/>
        <a:ln>
          <a:noFill/>
        </a:ln>
        <a:effectLst/>
      </c:spPr>
      <c:txPr>
        <a:bodyPr rot="0" spcFirstLastPara="1" vertOverflow="ellipsis" vert="horz" wrap="square" anchor="ctr" anchorCtr="1"/>
        <a:lstStyle/>
        <a:p>
          <a:pPr>
            <a:defRPr sz="288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'[5]ANEXO 2.Resultados aud.Inter'!$C$23</c:f>
              <c:strCache>
                <c:ptCount val="1"/>
                <c:pt idx="0">
                  <c:v>2006-II</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'[5]ANEXO 2.Resultados aud.Inter'!$C$24</c:f>
              <c:numCache>
                <c:formatCode>General</c:formatCode>
                <c:ptCount val="1"/>
                <c:pt idx="0">
                  <c:v>49</c:v>
                </c:pt>
              </c:numCache>
            </c:numRef>
          </c:val>
          <c:extLst>
            <c:ext xmlns:c16="http://schemas.microsoft.com/office/drawing/2014/chart" uri="{C3380CC4-5D6E-409C-BE32-E72D297353CC}">
              <c16:uniqueId val="{00000000-DD6F-44AE-B880-96727FE374E6}"/>
            </c:ext>
          </c:extLst>
        </c:ser>
        <c:ser>
          <c:idx val="1"/>
          <c:order val="1"/>
          <c:tx>
            <c:strRef>
              <c:f>'[5]ANEXO 2.Resultados aud.Inter'!$D$23</c:f>
              <c:strCache>
                <c:ptCount val="1"/>
                <c:pt idx="0">
                  <c:v>2007</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'[5]ANEXO 2.Resultados aud.Inter'!$D$24</c:f>
              <c:numCache>
                <c:formatCode>General</c:formatCode>
                <c:ptCount val="1"/>
                <c:pt idx="0">
                  <c:v>58</c:v>
                </c:pt>
              </c:numCache>
            </c:numRef>
          </c:val>
          <c:extLst>
            <c:ext xmlns:c16="http://schemas.microsoft.com/office/drawing/2014/chart" uri="{C3380CC4-5D6E-409C-BE32-E72D297353CC}">
              <c16:uniqueId val="{00000001-DD6F-44AE-B880-96727FE374E6}"/>
            </c:ext>
          </c:extLst>
        </c:ser>
        <c:ser>
          <c:idx val="3"/>
          <c:order val="3"/>
          <c:tx>
            <c:strRef>
              <c:f>'[5]ANEXO 2.Resultados aud.Inter'!$F$23</c:f>
              <c:strCache>
                <c:ptCount val="1"/>
                <c:pt idx="0">
                  <c:v>2008</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'[5]ANEXO 2.Resultados aud.Inter'!$F$24</c:f>
              <c:numCache>
                <c:formatCode>General</c:formatCode>
                <c:ptCount val="1"/>
                <c:pt idx="0">
                  <c:v>46</c:v>
                </c:pt>
              </c:numCache>
            </c:numRef>
          </c:val>
          <c:extLst>
            <c:ext xmlns:c16="http://schemas.microsoft.com/office/drawing/2014/chart" uri="{C3380CC4-5D6E-409C-BE32-E72D297353CC}">
              <c16:uniqueId val="{00000002-DD6F-44AE-B880-96727FE374E6}"/>
            </c:ext>
          </c:extLst>
        </c:ser>
        <c:ser>
          <c:idx val="5"/>
          <c:order val="5"/>
          <c:tx>
            <c:strRef>
              <c:f>'[5]ANEXO 2.Resultados aud.Inter'!$H$23</c:f>
              <c:strCache>
                <c:ptCount val="1"/>
                <c:pt idx="0">
                  <c:v>2009</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'[5]ANEXO 2.Resultados aud.Inter'!$H$24</c:f>
              <c:numCache>
                <c:formatCode>General</c:formatCode>
                <c:ptCount val="1"/>
                <c:pt idx="0">
                  <c:v>30</c:v>
                </c:pt>
              </c:numCache>
            </c:numRef>
          </c:val>
          <c:extLst>
            <c:ext xmlns:c16="http://schemas.microsoft.com/office/drawing/2014/chart" uri="{C3380CC4-5D6E-409C-BE32-E72D297353CC}">
              <c16:uniqueId val="{00000003-DD6F-44AE-B880-96727FE374E6}"/>
            </c:ext>
          </c:extLst>
        </c:ser>
        <c:ser>
          <c:idx val="7"/>
          <c:order val="7"/>
          <c:tx>
            <c:strRef>
              <c:f>'[5]ANEXO 2.Resultados aud.Inter'!$J$23</c:f>
              <c:strCache>
                <c:ptCount val="1"/>
                <c:pt idx="0">
                  <c:v>2010</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'[5]ANEXO 2.Resultados aud.Inter'!$J$24</c:f>
              <c:numCache>
                <c:formatCode>General</c:formatCode>
                <c:ptCount val="1"/>
                <c:pt idx="0">
                  <c:v>9</c:v>
                </c:pt>
              </c:numCache>
            </c:numRef>
          </c:val>
          <c:extLst>
            <c:ext xmlns:c16="http://schemas.microsoft.com/office/drawing/2014/chart" uri="{C3380CC4-5D6E-409C-BE32-E72D297353CC}">
              <c16:uniqueId val="{00000004-DD6F-44AE-B880-96727FE374E6}"/>
            </c:ext>
          </c:extLst>
        </c:ser>
        <c:ser>
          <c:idx val="9"/>
          <c:order val="9"/>
          <c:tx>
            <c:strRef>
              <c:f>'[5]ANEXO 2.Resultados aud.Inter'!$L$23</c:f>
              <c:strCache>
                <c:ptCount val="1"/>
                <c:pt idx="0">
                  <c:v>2011</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'[5]ANEXO 2.Resultados aud.Inter'!$L$24</c:f>
              <c:numCache>
                <c:formatCode>General</c:formatCode>
                <c:ptCount val="1"/>
                <c:pt idx="0">
                  <c:v>5</c:v>
                </c:pt>
              </c:numCache>
            </c:numRef>
          </c:val>
          <c:extLst>
            <c:ext xmlns:c16="http://schemas.microsoft.com/office/drawing/2014/chart" uri="{C3380CC4-5D6E-409C-BE32-E72D297353CC}">
              <c16:uniqueId val="{00000005-DD6F-44AE-B880-96727FE374E6}"/>
            </c:ext>
          </c:extLst>
        </c:ser>
        <c:ser>
          <c:idx val="11"/>
          <c:order val="11"/>
          <c:tx>
            <c:strRef>
              <c:f>'[5]ANEXO 2.Resultados aud.Inter'!$N$23</c:f>
              <c:strCache>
                <c:ptCount val="1"/>
                <c:pt idx="0">
                  <c:v>2012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'[5]ANEXO 2.Resultados aud.Inter'!$N$24</c:f>
              <c:numCache>
                <c:formatCode>General</c:formatCode>
                <c:ptCount val="1"/>
                <c:pt idx="0">
                  <c:v>7</c:v>
                </c:pt>
              </c:numCache>
            </c:numRef>
          </c:val>
          <c:extLst>
            <c:ext xmlns:c16="http://schemas.microsoft.com/office/drawing/2014/chart" uri="{C3380CC4-5D6E-409C-BE32-E72D297353CC}">
              <c16:uniqueId val="{00000006-DD6F-44AE-B880-96727FE374E6}"/>
            </c:ext>
          </c:extLst>
        </c:ser>
        <c:ser>
          <c:idx val="13"/>
          <c:order val="13"/>
          <c:tx>
            <c:strRef>
              <c:f>'[5]ANEXO 2.Resultados aud.Inter'!$P$23</c:f>
              <c:strCache>
                <c:ptCount val="1"/>
                <c:pt idx="0">
                  <c:v>2013</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'[5]ANEXO 2.Resultados aud.Inter'!$P$24</c:f>
              <c:numCache>
                <c:formatCode>General</c:formatCode>
                <c:ptCount val="1"/>
                <c:pt idx="0">
                  <c:v>8</c:v>
                </c:pt>
              </c:numCache>
            </c:numRef>
          </c:val>
          <c:extLst>
            <c:ext xmlns:c16="http://schemas.microsoft.com/office/drawing/2014/chart" uri="{C3380CC4-5D6E-409C-BE32-E72D297353CC}">
              <c16:uniqueId val="{00000007-DD6F-44AE-B880-96727FE374E6}"/>
            </c:ext>
          </c:extLst>
        </c:ser>
        <c:ser>
          <c:idx val="15"/>
          <c:order val="15"/>
          <c:tx>
            <c:strRef>
              <c:f>'[5]ANEXO 2.Resultados aud.Inter'!$R$23</c:f>
              <c:strCache>
                <c:ptCount val="1"/>
                <c:pt idx="0">
                  <c:v>2014</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'[5]ANEXO 2.Resultados aud.Inter'!$R$24</c:f>
              <c:numCache>
                <c:formatCode>General</c:formatCode>
                <c:ptCount val="1"/>
                <c:pt idx="0">
                  <c:v>0</c:v>
                </c:pt>
              </c:numCache>
            </c:numRef>
          </c:val>
          <c:extLst>
            <c:ext xmlns:c16="http://schemas.microsoft.com/office/drawing/2014/chart" uri="{C3380CC4-5D6E-409C-BE32-E72D297353CC}">
              <c16:uniqueId val="{00000008-DD6F-44AE-B880-96727FE374E6}"/>
            </c:ext>
          </c:extLst>
        </c:ser>
        <c:ser>
          <c:idx val="17"/>
          <c:order val="17"/>
          <c:tx>
            <c:strRef>
              <c:f>'[5]ANEXO 2.Resultados aud.Inter'!$T$23</c:f>
              <c:strCache>
                <c:ptCount val="1"/>
                <c:pt idx="0">
                  <c:v>2015</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'[5]ANEXO 2.Resultados aud.Inter'!$T$24</c:f>
              <c:numCache>
                <c:formatCode>General</c:formatCode>
                <c:ptCount val="1"/>
                <c:pt idx="0">
                  <c:v>5</c:v>
                </c:pt>
              </c:numCache>
            </c:numRef>
          </c:val>
          <c:extLst>
            <c:ext xmlns:c16="http://schemas.microsoft.com/office/drawing/2014/chart" uri="{C3380CC4-5D6E-409C-BE32-E72D297353CC}">
              <c16:uniqueId val="{00000009-DD6F-44AE-B880-96727FE374E6}"/>
            </c:ext>
          </c:extLst>
        </c:ser>
        <c:ser>
          <c:idx val="19"/>
          <c:order val="19"/>
          <c:tx>
            <c:strRef>
              <c:f>'[5]ANEXO 2.Resultados aud.Inter'!$V$23</c:f>
              <c:strCache>
                <c:ptCount val="1"/>
                <c:pt idx="0">
                  <c:v>2016</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'[5]ANEXO 2.Resultados aud.Inter'!$V$24</c:f>
              <c:numCache>
                <c:formatCode>General</c:formatCode>
                <c:ptCount val="1"/>
                <c:pt idx="0">
                  <c:v>8</c:v>
                </c:pt>
              </c:numCache>
            </c:numRef>
          </c:val>
          <c:extLst>
            <c:ext xmlns:c16="http://schemas.microsoft.com/office/drawing/2014/chart" uri="{C3380CC4-5D6E-409C-BE32-E72D297353CC}">
              <c16:uniqueId val="{0000000A-DD6F-44AE-B880-96727FE374E6}"/>
            </c:ext>
          </c:extLst>
        </c:ser>
        <c:ser>
          <c:idx val="21"/>
          <c:order val="21"/>
          <c:tx>
            <c:strRef>
              <c:f>'[5]ANEXO 2.Resultados aud.Inter'!$X$23</c:f>
              <c:strCache>
                <c:ptCount val="1"/>
                <c:pt idx="0">
                  <c:v>2017</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'[5]ANEXO 2.Resultados aud.Inter'!$X$24</c:f>
              <c:numCache>
                <c:formatCode>General</c:formatCode>
                <c:ptCount val="1"/>
                <c:pt idx="0">
                  <c:v>8</c:v>
                </c:pt>
              </c:numCache>
            </c:numRef>
          </c:val>
          <c:extLst>
            <c:ext xmlns:c16="http://schemas.microsoft.com/office/drawing/2014/chart" uri="{C3380CC4-5D6E-409C-BE32-E72D297353CC}">
              <c16:uniqueId val="{0000000B-DD6F-44AE-B880-96727FE374E6}"/>
            </c:ext>
          </c:extLst>
        </c:ser>
        <c:dLbls>
          <c:dLblPos val="outEnd"/>
          <c:showLegendKey val="0"/>
          <c:showVal val="1"/>
          <c:showCatName val="0"/>
          <c:showSerName val="0"/>
          <c:showPercent val="0"/>
          <c:showBubbleSize val="0"/>
        </c:dLbls>
        <c:gapWidth val="219"/>
        <c:overlap val="-27"/>
        <c:axId val="1530760144"/>
        <c:axId val="1530760688"/>
        <c:extLst>
          <c:ext xmlns:c15="http://schemas.microsoft.com/office/drawing/2012/chart" uri="{02D57815-91ED-43cb-92C2-25804820EDAC}">
            <c15:filteredBarSeries>
              <c15:ser>
                <c:idx val="2"/>
                <c:order val="2"/>
                <c:tx>
                  <c:strRef>
                    <c:extLst>
                      <c:ext uri="{02D57815-91ED-43cb-92C2-25804820EDAC}">
                        <c15:formulaRef>
                          <c15:sqref>'[5]ANEXO 2.Resultados aud.Inter'!$E$23</c15:sqref>
                        </c15:formulaRef>
                      </c:ext>
                    </c:extLst>
                    <c:strCache>
                      <c:ptCount val="1"/>
                      <c:pt idx="0">
                        <c:v>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'[5]ANEXO 2.Resultados aud.Inter'!$E$24</c15:sqref>
                        </c15:formulaRef>
                      </c:ext>
                    </c:extLst>
                    <c:numCache>
                      <c:formatCode>General</c:formatCode>
                      <c:ptCount val="1"/>
                      <c:pt idx="0">
                        <c:v>0</c:v>
                      </c:pt>
                    </c:numCache>
                  </c:numRef>
                </c:val>
                <c:extLst>
                  <c:ext xmlns:c16="http://schemas.microsoft.com/office/drawing/2014/chart" uri="{C3380CC4-5D6E-409C-BE32-E72D297353CC}">
                    <c16:uniqueId val="{0000000C-DD6F-44AE-B880-96727FE374E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'[5]ANEXO 2.Resultados aud.Inter'!$G$23</c15:sqref>
                        </c15:formulaRef>
                      </c:ext>
                    </c:extLst>
                    <c:strCache>
                      <c:ptCount val="1"/>
                      <c:pt idx="0">
                        <c:v>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'[5]ANEXO 2.Resultados aud.Inter'!$G$24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0D-DD6F-44AE-B880-96727FE374E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'[5]ANEXO 2.Resultados aud.Inter'!$I$23</c15:sqref>
                        </c15:formulaRef>
                      </c:ext>
                    </c:extLst>
                    <c:strCache>
                      <c:ptCount val="1"/>
                      <c:pt idx="0">
                        <c:v>0</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'[5]ANEXO 2.Resultados aud.Inter'!$I$24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0E-DD6F-44AE-B880-96727FE374E6}"/>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'[5]ANEXO 2.Resultados aud.Inter'!$K$23</c15:sqref>
                        </c15:formulaRef>
                      </c:ext>
                    </c:extLst>
                    <c:strCache>
                      <c:ptCount val="1"/>
                      <c:pt idx="0">
                        <c:v>0</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'[5]ANEXO 2.Resultados aud.Inter'!$K$24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0F-DD6F-44AE-B880-96727FE374E6}"/>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'[5]ANEXO 2.Resultados aud.Inter'!$M$23</c15:sqref>
                        </c15:formulaRef>
                      </c:ext>
                    </c:extLst>
                    <c:strCache>
                      <c:ptCount val="1"/>
                      <c:pt idx="0">
                        <c:v>0</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'[5]ANEXO 2.Resultados aud.Inter'!$M$24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0-DD6F-44AE-B880-96727FE374E6}"/>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'[5]ANEXO 2.Resultados aud.Inter'!$O$23</c15:sqref>
                        </c15:formulaRef>
                      </c:ext>
                    </c:extLst>
                    <c:strCache>
                      <c:ptCount val="1"/>
                      <c:pt idx="0">
                        <c:v>0</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'[5]ANEXO 2.Resultados aud.Inter'!$O$24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1-DD6F-44AE-B880-96727FE374E6}"/>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'[5]ANEXO 2.Resultados aud.Inter'!$Q$23</c15:sqref>
                        </c15:formulaRef>
                      </c:ext>
                    </c:extLst>
                    <c:strCache>
                      <c:ptCount val="1"/>
                      <c:pt idx="0">
                        <c:v>0</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'[5]ANEXO 2.Resultados aud.Inter'!$Q$24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2-DD6F-44AE-B880-96727FE374E6}"/>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'[5]ANEXO 2.Resultados aud.Inter'!$S$23</c15:sqref>
                        </c15:formulaRef>
                      </c:ext>
                    </c:extLst>
                    <c:strCache>
                      <c:ptCount val="1"/>
                      <c:pt idx="0">
                        <c:v>0</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'[5]ANEXO 2.Resultados aud.Inter'!$S$24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3-DD6F-44AE-B880-96727FE374E6}"/>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'[5]ANEXO 2.Resultados aud.Inter'!$U$23</c15:sqref>
                        </c15:formulaRef>
                      </c:ext>
                    </c:extLst>
                    <c:strCache>
                      <c:ptCount val="1"/>
                      <c:pt idx="0">
                        <c:v>0</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'[5]ANEXO 2.Resultados aud.Inter'!$U$24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4-DD6F-44AE-B880-96727FE374E6}"/>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'[5]ANEXO 2.Resultados aud.Inter'!$W$23</c15:sqref>
                        </c15:formulaRef>
                      </c:ext>
                    </c:extLst>
                    <c:strCache>
                      <c:ptCount val="1"/>
                      <c:pt idx="0">
                        <c:v>0</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'[5]ANEXO 2.Resultados aud.Inter'!$W$24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5-DD6F-44AE-B880-96727FE374E6}"/>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'[5]ANEXO 2.Resultados aud.Inter'!$Y$23</c15:sqref>
                        </c15:formulaRef>
                      </c:ext>
                    </c:extLst>
                    <c:strCache>
                      <c:ptCount val="1"/>
                      <c:pt idx="0">
                        <c:v>0</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'[5]ANEXO 2.Resultados aud.Inter'!$Y$24</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16-DD6F-44AE-B880-96727FE374E6}"/>
                  </c:ext>
                </c:extLst>
              </c15:ser>
            </c15:filteredBarSeries>
          </c:ext>
        </c:extLst>
      </c:barChart>
      <c:catAx>
        <c:axId val="153076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crossAx val="1530760688"/>
        <c:crosses val="autoZero"/>
        <c:auto val="1"/>
        <c:lblAlgn val="ctr"/>
        <c:lblOffset val="100"/>
        <c:noMultiLvlLbl val="0"/>
      </c:catAx>
      <c:valAx>
        <c:axId val="1530760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crossAx val="153076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400"/>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Calibri"/>
                <a:ea typeface="Calibri"/>
                <a:cs typeface="Calibri"/>
              </a:defRPr>
            </a:pPr>
            <a:r>
              <a:rPr lang="es-CO"/>
              <a:t>Consolidado de No conformidades Auditorias Externas</a:t>
            </a:r>
          </a:p>
        </c:rich>
      </c:tx>
      <c:layout>
        <c:manualLayout>
          <c:xMode val="edge"/>
          <c:yMode val="edge"/>
          <c:x val="0.20050176002247211"/>
          <c:y val="5.4680194678635469E-2"/>
        </c:manualLayout>
      </c:layout>
      <c:overlay val="0"/>
    </c:title>
    <c:autoTitleDeleted val="0"/>
    <c:plotArea>
      <c:layout>
        <c:manualLayout>
          <c:layoutTarget val="inner"/>
          <c:xMode val="edge"/>
          <c:yMode val="edge"/>
          <c:x val="4.684587324721394E-2"/>
          <c:y val="0.16479002781516242"/>
          <c:w val="0.94089981065897432"/>
          <c:h val="0.71940714434710828"/>
        </c:manualLayout>
      </c:layout>
      <c:lineChart>
        <c:grouping val="stacked"/>
        <c:varyColors val="0"/>
        <c:ser>
          <c:idx val="0"/>
          <c:order val="0"/>
          <c:spPr>
            <a:ln w="38100"/>
          </c:spPr>
          <c:marker>
            <c:spPr>
              <a:solidFill>
                <a:schemeClr val="accent3">
                  <a:lumMod val="75000"/>
                </a:schemeClr>
              </a:solidFill>
              <a:ln w="38100"/>
            </c:spPr>
          </c:marker>
          <c:dPt>
            <c:idx val="6"/>
            <c:bubble3D val="0"/>
            <c:extLst>
              <c:ext xmlns:c16="http://schemas.microsoft.com/office/drawing/2014/chart" uri="{C3380CC4-5D6E-409C-BE32-E72D297353CC}">
                <c16:uniqueId val="{00000000-F67D-4584-B95C-B4DC067EC26A}"/>
              </c:ext>
            </c:extLst>
          </c:dPt>
          <c:dPt>
            <c:idx val="7"/>
            <c:marker>
              <c:spPr>
                <a:solidFill>
                  <a:schemeClr val="accent3">
                    <a:lumMod val="75000"/>
                  </a:schemeClr>
                </a:solidFill>
                <a:ln w="38100">
                  <a:solidFill>
                    <a:schemeClr val="bg2">
                      <a:lumMod val="50000"/>
                    </a:schemeClr>
                  </a:solidFill>
                </a:ln>
              </c:spPr>
            </c:marker>
            <c:bubble3D val="0"/>
            <c:spPr>
              <a:ln w="38100">
                <a:solidFill>
                  <a:schemeClr val="bg2">
                    <a:lumMod val="50000"/>
                  </a:schemeClr>
                </a:solidFill>
              </a:ln>
            </c:spPr>
            <c:extLst>
              <c:ext xmlns:c16="http://schemas.microsoft.com/office/drawing/2014/chart" uri="{C3380CC4-5D6E-409C-BE32-E72D297353CC}">
                <c16:uniqueId val="{00000002-F67D-4584-B95C-B4DC067EC26A}"/>
              </c:ext>
            </c:extLst>
          </c:dPt>
          <c:dPt>
            <c:idx val="8"/>
            <c:marker>
              <c:spPr>
                <a:solidFill>
                  <a:schemeClr val="accent3">
                    <a:lumMod val="75000"/>
                  </a:schemeClr>
                </a:solidFill>
                <a:ln w="38100">
                  <a:solidFill>
                    <a:schemeClr val="bg2">
                      <a:lumMod val="50000"/>
                    </a:schemeClr>
                  </a:solidFill>
                </a:ln>
              </c:spPr>
            </c:marker>
            <c:bubble3D val="0"/>
            <c:spPr>
              <a:ln w="38100">
                <a:solidFill>
                  <a:schemeClr val="bg2">
                    <a:lumMod val="50000"/>
                  </a:schemeClr>
                </a:solidFill>
              </a:ln>
            </c:spPr>
            <c:extLst>
              <c:ext xmlns:c16="http://schemas.microsoft.com/office/drawing/2014/chart" uri="{C3380CC4-5D6E-409C-BE32-E72D297353CC}">
                <c16:uniqueId val="{00000004-F67D-4584-B95C-B4DC067EC26A}"/>
              </c:ext>
            </c:extLst>
          </c:dPt>
          <c:dPt>
            <c:idx val="9"/>
            <c:marker>
              <c:spPr>
                <a:solidFill>
                  <a:schemeClr val="accent3">
                    <a:lumMod val="75000"/>
                  </a:schemeClr>
                </a:solidFill>
                <a:ln w="38100">
                  <a:solidFill>
                    <a:schemeClr val="bg2">
                      <a:lumMod val="50000"/>
                    </a:schemeClr>
                  </a:solidFill>
                </a:ln>
              </c:spPr>
            </c:marker>
            <c:bubble3D val="0"/>
            <c:spPr>
              <a:ln w="38100">
                <a:solidFill>
                  <a:schemeClr val="bg2">
                    <a:lumMod val="50000"/>
                  </a:schemeClr>
                </a:solidFill>
              </a:ln>
            </c:spPr>
            <c:extLst>
              <c:ext xmlns:c16="http://schemas.microsoft.com/office/drawing/2014/chart" uri="{C3380CC4-5D6E-409C-BE32-E72D297353CC}">
                <c16:uniqueId val="{00000006-F67D-4584-B95C-B4DC067EC26A}"/>
              </c:ext>
            </c:extLst>
          </c:dPt>
          <c:dPt>
            <c:idx val="10"/>
            <c:marker>
              <c:spPr>
                <a:solidFill>
                  <a:schemeClr val="accent3">
                    <a:lumMod val="75000"/>
                  </a:schemeClr>
                </a:solidFill>
                <a:ln w="38100">
                  <a:solidFill>
                    <a:schemeClr val="bg2">
                      <a:lumMod val="50000"/>
                    </a:schemeClr>
                  </a:solidFill>
                </a:ln>
              </c:spPr>
            </c:marker>
            <c:bubble3D val="0"/>
            <c:spPr>
              <a:ln w="38100">
                <a:solidFill>
                  <a:schemeClr val="bg2">
                    <a:lumMod val="50000"/>
                  </a:schemeClr>
                </a:solidFill>
              </a:ln>
            </c:spPr>
            <c:extLst>
              <c:ext xmlns:c16="http://schemas.microsoft.com/office/drawing/2014/chart" uri="{C3380CC4-5D6E-409C-BE32-E72D297353CC}">
                <c16:uniqueId val="{00000008-F67D-4584-B95C-B4DC067EC26A}"/>
              </c:ext>
            </c:extLst>
          </c:dPt>
          <c:dPt>
            <c:idx val="11"/>
            <c:marker>
              <c:spPr>
                <a:solidFill>
                  <a:schemeClr val="accent3">
                    <a:lumMod val="75000"/>
                  </a:schemeClr>
                </a:solidFill>
                <a:ln w="38100">
                  <a:solidFill>
                    <a:schemeClr val="bg2">
                      <a:lumMod val="50000"/>
                    </a:schemeClr>
                  </a:solidFill>
                </a:ln>
              </c:spPr>
            </c:marker>
            <c:bubble3D val="0"/>
            <c:spPr>
              <a:ln w="38100">
                <a:solidFill>
                  <a:schemeClr val="bg2">
                    <a:lumMod val="50000"/>
                  </a:schemeClr>
                </a:solidFill>
              </a:ln>
            </c:spPr>
            <c:extLst>
              <c:ext xmlns:c16="http://schemas.microsoft.com/office/drawing/2014/chart" uri="{C3380CC4-5D6E-409C-BE32-E72D297353CC}">
                <c16:uniqueId val="{0000000A-F67D-4584-B95C-B4DC067EC26A}"/>
              </c:ext>
            </c:extLst>
          </c:dPt>
          <c:dPt>
            <c:idx val="12"/>
            <c:marker>
              <c:spPr>
                <a:solidFill>
                  <a:schemeClr val="accent3">
                    <a:lumMod val="75000"/>
                  </a:schemeClr>
                </a:solidFill>
                <a:ln w="38100">
                  <a:solidFill>
                    <a:schemeClr val="bg2">
                      <a:lumMod val="50000"/>
                    </a:schemeClr>
                  </a:solidFill>
                </a:ln>
              </c:spPr>
            </c:marker>
            <c:bubble3D val="0"/>
            <c:spPr>
              <a:ln w="38100">
                <a:solidFill>
                  <a:schemeClr val="bg2">
                    <a:lumMod val="50000"/>
                  </a:schemeClr>
                </a:solidFill>
              </a:ln>
            </c:spPr>
            <c:extLst>
              <c:ext xmlns:c16="http://schemas.microsoft.com/office/drawing/2014/chart" uri="{C3380CC4-5D6E-409C-BE32-E72D297353CC}">
                <c16:uniqueId val="{0000000C-F67D-4584-B95C-B4DC067EC26A}"/>
              </c:ext>
            </c:extLst>
          </c:dPt>
          <c:dPt>
            <c:idx val="13"/>
            <c:marker>
              <c:spPr>
                <a:solidFill>
                  <a:schemeClr val="accent3">
                    <a:lumMod val="75000"/>
                  </a:schemeClr>
                </a:solidFill>
                <a:ln w="38100">
                  <a:solidFill>
                    <a:schemeClr val="bg2">
                      <a:lumMod val="50000"/>
                    </a:schemeClr>
                  </a:solidFill>
                </a:ln>
              </c:spPr>
            </c:marker>
            <c:bubble3D val="0"/>
            <c:spPr>
              <a:ln w="38100">
                <a:solidFill>
                  <a:schemeClr val="bg2">
                    <a:lumMod val="50000"/>
                  </a:schemeClr>
                </a:solidFill>
              </a:ln>
            </c:spPr>
            <c:extLst>
              <c:ext xmlns:c16="http://schemas.microsoft.com/office/drawing/2014/chart" uri="{C3380CC4-5D6E-409C-BE32-E72D297353CC}">
                <c16:uniqueId val="{0000000E-F67D-4584-B95C-B4DC067EC26A}"/>
              </c:ext>
            </c:extLst>
          </c:dPt>
          <c:dPt>
            <c:idx val="14"/>
            <c:marker>
              <c:spPr>
                <a:solidFill>
                  <a:schemeClr val="accent3">
                    <a:lumMod val="75000"/>
                  </a:schemeClr>
                </a:solidFill>
                <a:ln w="38100">
                  <a:solidFill>
                    <a:schemeClr val="tx1">
                      <a:lumMod val="65000"/>
                      <a:lumOff val="35000"/>
                    </a:schemeClr>
                  </a:solidFill>
                </a:ln>
              </c:spPr>
            </c:marker>
            <c:bubble3D val="0"/>
            <c:spPr>
              <a:ln w="38100">
                <a:solidFill>
                  <a:schemeClr val="tx1">
                    <a:lumMod val="65000"/>
                    <a:lumOff val="35000"/>
                  </a:schemeClr>
                </a:solidFill>
              </a:ln>
            </c:spPr>
            <c:extLst>
              <c:ext xmlns:c16="http://schemas.microsoft.com/office/drawing/2014/chart" uri="{C3380CC4-5D6E-409C-BE32-E72D297353CC}">
                <c16:uniqueId val="{00000010-F67D-4584-B95C-B4DC067EC26A}"/>
              </c:ext>
            </c:extLst>
          </c:dPt>
          <c:dPt>
            <c:idx val="15"/>
            <c:marker>
              <c:spPr>
                <a:solidFill>
                  <a:schemeClr val="accent3">
                    <a:lumMod val="75000"/>
                  </a:schemeClr>
                </a:solidFill>
                <a:ln w="38100">
                  <a:solidFill>
                    <a:schemeClr val="tx1">
                      <a:lumMod val="65000"/>
                      <a:lumOff val="35000"/>
                    </a:schemeClr>
                  </a:solidFill>
                </a:ln>
              </c:spPr>
            </c:marker>
            <c:bubble3D val="0"/>
            <c:spPr>
              <a:ln w="38100">
                <a:solidFill>
                  <a:schemeClr val="tx1">
                    <a:lumMod val="65000"/>
                    <a:lumOff val="35000"/>
                  </a:schemeClr>
                </a:solidFill>
              </a:ln>
            </c:spPr>
            <c:extLst>
              <c:ext xmlns:c16="http://schemas.microsoft.com/office/drawing/2014/chart" uri="{C3380CC4-5D6E-409C-BE32-E72D297353CC}">
                <c16:uniqueId val="{00000012-F67D-4584-B95C-B4DC067EC26A}"/>
              </c:ext>
            </c:extLst>
          </c:dPt>
          <c:dPt>
            <c:idx val="16"/>
            <c:marker>
              <c:spPr>
                <a:solidFill>
                  <a:schemeClr val="accent3">
                    <a:lumMod val="75000"/>
                  </a:schemeClr>
                </a:solidFill>
                <a:ln w="38100">
                  <a:solidFill>
                    <a:schemeClr val="tx1">
                      <a:lumMod val="65000"/>
                      <a:lumOff val="35000"/>
                    </a:schemeClr>
                  </a:solidFill>
                </a:ln>
              </c:spPr>
            </c:marker>
            <c:bubble3D val="0"/>
            <c:spPr>
              <a:ln w="38100">
                <a:solidFill>
                  <a:schemeClr val="tx1">
                    <a:lumMod val="65000"/>
                    <a:lumOff val="35000"/>
                  </a:schemeClr>
                </a:solidFill>
              </a:ln>
            </c:spPr>
            <c:extLst>
              <c:ext xmlns:c16="http://schemas.microsoft.com/office/drawing/2014/chart" uri="{C3380CC4-5D6E-409C-BE32-E72D297353CC}">
                <c16:uniqueId val="{00000014-F67D-4584-B95C-B4DC067EC26A}"/>
              </c:ext>
            </c:extLst>
          </c:dPt>
          <c:dLbls>
            <c:dLbl>
              <c:idx val="14"/>
              <c:layout>
                <c:manualLayout>
                  <c:x val="-1.2512567987826356E-2"/>
                  <c:y val="-3.0174446016030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67D-4584-B95C-B4DC067EC26A}"/>
                </c:ext>
              </c:extLst>
            </c:dLbl>
            <c:dLbl>
              <c:idx val="15"/>
              <c:layout>
                <c:manualLayout>
                  <c:x val="-2.3982421976667181E-2"/>
                  <c:y val="-2.8288543140028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67D-4584-B95C-B4DC067EC26A}"/>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'NC Externa'!$D$29:$Y$29</c:f>
              <c:strCache>
                <c:ptCount val="22"/>
                <c:pt idx="0">
                  <c:v>Aud Certif</c:v>
                </c:pt>
                <c:pt idx="1">
                  <c:v>Aud Seg 1</c:v>
                </c:pt>
                <c:pt idx="2">
                  <c:v>Aud Seg 2</c:v>
                </c:pt>
                <c:pt idx="3">
                  <c:v>Aud Seg 3</c:v>
                </c:pt>
                <c:pt idx="4">
                  <c:v>Aud Seg 4</c:v>
                </c:pt>
                <c:pt idx="5">
                  <c:v>Aud Seg 5</c:v>
                </c:pt>
                <c:pt idx="6">
                  <c:v>Aud Recerti</c:v>
                </c:pt>
                <c:pt idx="7">
                  <c:v>Aud Seg Recert</c:v>
                </c:pt>
                <c:pt idx="8">
                  <c:v>Aud Seg 2</c:v>
                </c:pt>
                <c:pt idx="9">
                  <c:v>Aud Seg 3</c:v>
                </c:pt>
                <c:pt idx="10">
                  <c:v>Aud  Seg 4</c:v>
                </c:pt>
                <c:pt idx="11">
                  <c:v>Aud Seg 5</c:v>
                </c:pt>
                <c:pt idx="12">
                  <c:v>Aud Certif</c:v>
                </c:pt>
                <c:pt idx="13">
                  <c:v>Aud. Seg 1 </c:v>
                </c:pt>
                <c:pt idx="14">
                  <c:v>Aud. Seg 2</c:v>
                </c:pt>
                <c:pt idx="15">
                  <c:v>Aud Certif</c:v>
                </c:pt>
                <c:pt idx="16">
                  <c:v>Aud. Seg 1 </c:v>
                </c:pt>
                <c:pt idx="17">
                  <c:v>Aud. Seg 2</c:v>
                </c:pt>
                <c:pt idx="18">
                  <c:v>Aud recertif</c:v>
                </c:pt>
                <c:pt idx="19">
                  <c:v>Aud. Seg 1 </c:v>
                </c:pt>
                <c:pt idx="20">
                  <c:v>Aud. Seg 2 </c:v>
                </c:pt>
                <c:pt idx="21">
                  <c:v>Aud recertif</c:v>
                </c:pt>
              </c:strCache>
            </c:strRef>
          </c:cat>
          <c:val>
            <c:numRef>
              <c:f>'NC Externa'!$D$30:$Y$30</c:f>
              <c:numCache>
                <c:formatCode>General</c:formatCode>
                <c:ptCount val="22"/>
                <c:pt idx="0">
                  <c:v>8</c:v>
                </c:pt>
                <c:pt idx="1">
                  <c:v>2</c:v>
                </c:pt>
                <c:pt idx="2">
                  <c:v>5</c:v>
                </c:pt>
                <c:pt idx="3">
                  <c:v>1</c:v>
                </c:pt>
                <c:pt idx="4">
                  <c:v>3</c:v>
                </c:pt>
                <c:pt idx="5">
                  <c:v>4</c:v>
                </c:pt>
                <c:pt idx="6">
                  <c:v>6</c:v>
                </c:pt>
                <c:pt idx="7">
                  <c:v>4</c:v>
                </c:pt>
                <c:pt idx="8">
                  <c:v>2</c:v>
                </c:pt>
                <c:pt idx="9">
                  <c:v>4</c:v>
                </c:pt>
                <c:pt idx="10">
                  <c:v>4</c:v>
                </c:pt>
                <c:pt idx="11">
                  <c:v>0</c:v>
                </c:pt>
                <c:pt idx="12">
                  <c:v>0</c:v>
                </c:pt>
                <c:pt idx="13">
                  <c:v>1</c:v>
                </c:pt>
                <c:pt idx="14">
                  <c:v>0</c:v>
                </c:pt>
                <c:pt idx="15">
                  <c:v>0</c:v>
                </c:pt>
                <c:pt idx="16">
                  <c:v>6</c:v>
                </c:pt>
                <c:pt idx="17">
                  <c:v>5</c:v>
                </c:pt>
                <c:pt idx="18">
                  <c:v>3</c:v>
                </c:pt>
                <c:pt idx="19">
                  <c:v>4</c:v>
                </c:pt>
                <c:pt idx="20">
                  <c:v>0</c:v>
                </c:pt>
                <c:pt idx="21">
                  <c:v>1</c:v>
                </c:pt>
              </c:numCache>
            </c:numRef>
          </c:val>
          <c:smooth val="0"/>
          <c:extLst>
            <c:ext xmlns:c16="http://schemas.microsoft.com/office/drawing/2014/chart" uri="{C3380CC4-5D6E-409C-BE32-E72D297353CC}">
              <c16:uniqueId val="{00000015-F67D-4584-B95C-B4DC067EC26A}"/>
            </c:ext>
          </c:extLst>
        </c:ser>
        <c:dLbls>
          <c:showLegendKey val="0"/>
          <c:showVal val="0"/>
          <c:showCatName val="0"/>
          <c:showSerName val="0"/>
          <c:showPercent val="0"/>
          <c:showBubbleSize val="0"/>
        </c:dLbls>
        <c:marker val="1"/>
        <c:smooth val="0"/>
        <c:axId val="1530761776"/>
        <c:axId val="1530763408"/>
      </c:lineChart>
      <c:catAx>
        <c:axId val="1530761776"/>
        <c:scaling>
          <c:orientation val="minMax"/>
        </c:scaling>
        <c:delete val="0"/>
        <c:axPos val="b"/>
        <c:numFmt formatCode="General"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s-CO"/>
          </a:p>
        </c:txPr>
        <c:crossAx val="1530763408"/>
        <c:crosses val="autoZero"/>
        <c:auto val="1"/>
        <c:lblAlgn val="ctr"/>
        <c:lblOffset val="100"/>
        <c:noMultiLvlLbl val="0"/>
      </c:catAx>
      <c:valAx>
        <c:axId val="1530763408"/>
        <c:scaling>
          <c:orientation val="minMax"/>
        </c:scaling>
        <c:delete val="0"/>
        <c:axPos val="l"/>
        <c:majorGridlines/>
        <c:numFmt formatCode="General"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s-CO"/>
          </a:p>
        </c:txPr>
        <c:crossAx val="1530761776"/>
        <c:crosses val="autoZero"/>
        <c:crossBetween val="between"/>
      </c:valAx>
    </c:plotArea>
    <c:plotVisOnly val="1"/>
    <c:dispBlanksAs val="zero"/>
    <c:showDLblsOverMax val="0"/>
  </c:chart>
  <c:spPr>
    <a:solidFill>
      <a:schemeClr val="accent2"/>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Evaluación</a:t>
            </a:r>
            <a:r>
              <a:rPr lang="es-CO" b="1" baseline="0"/>
              <a:t> de Proveedores</a:t>
            </a:r>
            <a:endParaRPr lang="es-CO" b="1"/>
          </a:p>
        </c:rich>
      </c:tx>
      <c:layout>
        <c:manualLayout>
          <c:xMode val="edge"/>
          <c:yMode val="edge"/>
          <c:x val="0.27259711286089239"/>
          <c:y val="2.797202797202797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'EVALUACIÓN A PROVEEDORES '!$P$4</c:f>
              <c:strCache>
                <c:ptCount val="1"/>
                <c:pt idx="0">
                  <c:v>2017 - I</c:v>
                </c:pt>
              </c:strCache>
            </c:strRef>
          </c:tx>
          <c:spPr>
            <a:solidFill>
              <a:schemeClr val="accent1"/>
            </a:solidFill>
            <a:ln>
              <a:noFill/>
            </a:ln>
            <a:effectLst/>
          </c:spPr>
          <c:invertIfNegative val="0"/>
          <c:cat>
            <c:strRef>
              <c:f>'EVALUACIÓN A PROVEEDORES '!$A$5:$A$7</c:f>
              <c:strCache>
                <c:ptCount val="3"/>
                <c:pt idx="0">
                  <c:v>Proveedores Evaluados Satisfactoriamente              (calificados con puntaje mayor o igual a 3.5)</c:v>
                </c:pt>
                <c:pt idx="1">
                  <c:v>Proveedores evaluados insatisfactoriamente           (calificados con puntaje inferior a 3.5 y mayor o igual a 3.0 )</c:v>
                </c:pt>
                <c:pt idx="2">
                  <c:v>Proveedores deshabilitados del Registro     (Evaluados por debajo de  3.0)</c:v>
                </c:pt>
              </c:strCache>
            </c:strRef>
          </c:cat>
          <c:val>
            <c:numRef>
              <c:f>'EVALUACIÓN A PROVEEDORES '!$P$5:$P$7</c:f>
            </c:numRef>
          </c:val>
          <c:extLst>
            <c:ext xmlns:c16="http://schemas.microsoft.com/office/drawing/2014/chart" uri="{C3380CC4-5D6E-409C-BE32-E72D297353CC}">
              <c16:uniqueId val="{00000000-8625-4B99-9D61-C703A93E0BD1}"/>
            </c:ext>
          </c:extLst>
        </c:ser>
        <c:ser>
          <c:idx val="1"/>
          <c:order val="1"/>
          <c:tx>
            <c:strRef>
              <c:f>'EVALUACIÓN A PROVEEDORES '!$Q$4</c:f>
              <c:strCache>
                <c:ptCount val="1"/>
                <c:pt idx="0">
                  <c:v>2017 - II</c:v>
                </c:pt>
              </c:strCache>
            </c:strRef>
          </c:tx>
          <c:spPr>
            <a:solidFill>
              <a:schemeClr val="accent2"/>
            </a:solidFill>
            <a:ln>
              <a:noFill/>
            </a:ln>
            <a:effectLst/>
          </c:spPr>
          <c:invertIfNegative val="0"/>
          <c:cat>
            <c:strRef>
              <c:f>'EVALUACIÓN A PROVEEDORES '!$A$5:$A$7</c:f>
              <c:strCache>
                <c:ptCount val="3"/>
                <c:pt idx="0">
                  <c:v>Proveedores Evaluados Satisfactoriamente              (calificados con puntaje mayor o igual a 3.5)</c:v>
                </c:pt>
                <c:pt idx="1">
                  <c:v>Proveedores evaluados insatisfactoriamente           (calificados con puntaje inferior a 3.5 y mayor o igual a 3.0 )</c:v>
                </c:pt>
                <c:pt idx="2">
                  <c:v>Proveedores deshabilitados del Registro     (Evaluados por debajo de  3.0)</c:v>
                </c:pt>
              </c:strCache>
            </c:strRef>
          </c:cat>
          <c:val>
            <c:numRef>
              <c:f>'EVALUACIÓN A PROVEEDORES '!$Q$5:$Q$7</c:f>
            </c:numRef>
          </c:val>
          <c:extLst>
            <c:ext xmlns:c16="http://schemas.microsoft.com/office/drawing/2014/chart" uri="{C3380CC4-5D6E-409C-BE32-E72D297353CC}">
              <c16:uniqueId val="{00000001-8625-4B99-9D61-C703A93E0BD1}"/>
            </c:ext>
          </c:extLst>
        </c:ser>
        <c:dLbls>
          <c:showLegendKey val="0"/>
          <c:showVal val="0"/>
          <c:showCatName val="0"/>
          <c:showSerName val="0"/>
          <c:showPercent val="0"/>
          <c:showBubbleSize val="0"/>
        </c:dLbls>
        <c:gapWidth val="150"/>
        <c:axId val="1928251552"/>
        <c:axId val="1928254816"/>
      </c:barChart>
      <c:catAx>
        <c:axId val="192825155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8254816"/>
        <c:crosses val="autoZero"/>
        <c:auto val="1"/>
        <c:lblAlgn val="ctr"/>
        <c:lblOffset val="100"/>
        <c:noMultiLvlLbl val="0"/>
      </c:catAx>
      <c:valAx>
        <c:axId val="1928254816"/>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8251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Evaluación</a:t>
            </a:r>
            <a:r>
              <a:rPr lang="es-CO" b="1" baseline="0"/>
              <a:t> de Proveedores</a:t>
            </a:r>
            <a:endParaRPr lang="es-CO" b="1"/>
          </a:p>
        </c:rich>
      </c:tx>
      <c:layout>
        <c:manualLayout>
          <c:xMode val="edge"/>
          <c:yMode val="edge"/>
          <c:x val="0.27259711286089239"/>
          <c:y val="2.797202797202797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'[3]EVALUACIÓN A PROVEEDORES '!$P$4</c:f>
              <c:strCache>
                <c:ptCount val="1"/>
                <c:pt idx="0">
                  <c:v>2017 - I</c:v>
                </c:pt>
              </c:strCache>
            </c:strRef>
          </c:tx>
          <c:spPr>
            <a:solidFill>
              <a:schemeClr val="accent1"/>
            </a:solidFill>
            <a:ln>
              <a:noFill/>
            </a:ln>
            <a:effectLst/>
          </c:spPr>
          <c:invertIfNegative val="0"/>
          <c:cat>
            <c:strRef>
              <c:f>'[3]EVALUACIÓN A PROVEEDORES '!$A$5:$A$7</c:f>
              <c:strCache>
                <c:ptCount val="3"/>
                <c:pt idx="0">
                  <c:v>Proveedores Evaluados Satisfactoriamente                                                              (calificados con puntaje mayor o igual a 3.5)</c:v>
                </c:pt>
                <c:pt idx="1">
                  <c:v>Proveedores evaluados insatisfactoriamente                                                                       (calificados con puntaje inferior a 3.5 y mayor o igual a 3.0 )</c:v>
                </c:pt>
                <c:pt idx="2">
                  <c:v>Proveedores deshabilitados del Registro                                           (Evaluados por debajo de  3.0)</c:v>
                </c:pt>
              </c:strCache>
            </c:strRef>
          </c:cat>
          <c:val>
            <c:numRef>
              <c:f>'[3]EVALUACIÓN A PROVEEDORES '!$P$5:$P$7</c:f>
              <c:numCache>
                <c:formatCode>General</c:formatCode>
                <c:ptCount val="3"/>
                <c:pt idx="0">
                  <c:v>194</c:v>
                </c:pt>
                <c:pt idx="1">
                  <c:v>1</c:v>
                </c:pt>
                <c:pt idx="2">
                  <c:v>0</c:v>
                </c:pt>
              </c:numCache>
            </c:numRef>
          </c:val>
          <c:extLst>
            <c:ext xmlns:c16="http://schemas.microsoft.com/office/drawing/2014/chart" uri="{C3380CC4-5D6E-409C-BE32-E72D297353CC}">
              <c16:uniqueId val="{00000000-D4EB-4E3E-BDAC-D1688DE22256}"/>
            </c:ext>
          </c:extLst>
        </c:ser>
        <c:ser>
          <c:idx val="1"/>
          <c:order val="1"/>
          <c:tx>
            <c:strRef>
              <c:f>'[3]EVALUACIÓN A PROVEEDORES '!$Q$4</c:f>
              <c:strCache>
                <c:ptCount val="1"/>
                <c:pt idx="0">
                  <c:v>2017 - II</c:v>
                </c:pt>
              </c:strCache>
            </c:strRef>
          </c:tx>
          <c:spPr>
            <a:solidFill>
              <a:schemeClr val="accent2"/>
            </a:solidFill>
            <a:ln>
              <a:noFill/>
            </a:ln>
            <a:effectLst/>
          </c:spPr>
          <c:invertIfNegative val="0"/>
          <c:cat>
            <c:strRef>
              <c:f>'[3]EVALUACIÓN A PROVEEDORES '!$A$5:$A$7</c:f>
              <c:strCache>
                <c:ptCount val="3"/>
                <c:pt idx="0">
                  <c:v>Proveedores Evaluados Satisfactoriamente                                                              (calificados con puntaje mayor o igual a 3.5)</c:v>
                </c:pt>
                <c:pt idx="1">
                  <c:v>Proveedores evaluados insatisfactoriamente                                                                       (calificados con puntaje inferior a 3.5 y mayor o igual a 3.0 )</c:v>
                </c:pt>
                <c:pt idx="2">
                  <c:v>Proveedores deshabilitados del Registro                                           (Evaluados por debajo de  3.0)</c:v>
                </c:pt>
              </c:strCache>
            </c:strRef>
          </c:cat>
          <c:val>
            <c:numRef>
              <c:f>'[3]EVALUACIÓN A PROVEEDORES '!$Q$5:$Q$7</c:f>
              <c:numCache>
                <c:formatCode>General</c:formatCode>
                <c:ptCount val="3"/>
                <c:pt idx="0">
                  <c:v>178</c:v>
                </c:pt>
                <c:pt idx="1">
                  <c:v>0</c:v>
                </c:pt>
                <c:pt idx="2">
                  <c:v>1</c:v>
                </c:pt>
              </c:numCache>
            </c:numRef>
          </c:val>
          <c:extLst>
            <c:ext xmlns:c16="http://schemas.microsoft.com/office/drawing/2014/chart" uri="{C3380CC4-5D6E-409C-BE32-E72D297353CC}">
              <c16:uniqueId val="{00000001-D4EB-4E3E-BDAC-D1688DE22256}"/>
            </c:ext>
          </c:extLst>
        </c:ser>
        <c:dLbls>
          <c:showLegendKey val="0"/>
          <c:showVal val="0"/>
          <c:showCatName val="0"/>
          <c:showSerName val="0"/>
          <c:showPercent val="0"/>
          <c:showBubbleSize val="0"/>
        </c:dLbls>
        <c:gapWidth val="150"/>
        <c:axId val="1928253728"/>
        <c:axId val="1928257536"/>
      </c:barChart>
      <c:catAx>
        <c:axId val="1928253728"/>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8257536"/>
        <c:crosses val="autoZero"/>
        <c:auto val="1"/>
        <c:lblAlgn val="ctr"/>
        <c:lblOffset val="100"/>
        <c:noMultiLvlLbl val="0"/>
      </c:catAx>
      <c:valAx>
        <c:axId val="1928257536"/>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8253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5</xdr:col>
      <xdr:colOff>71437</xdr:colOff>
      <xdr:row>14</xdr:row>
      <xdr:rowOff>319086</xdr:rowOff>
    </xdr:from>
    <xdr:to>
      <xdr:col>14</xdr:col>
      <xdr:colOff>821530</xdr:colOff>
      <xdr:row>19</xdr:row>
      <xdr:rowOff>454817</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404811</xdr:colOff>
      <xdr:row>16</xdr:row>
      <xdr:rowOff>247649</xdr:rowOff>
    </xdr:from>
    <xdr:to>
      <xdr:col>15</xdr:col>
      <xdr:colOff>619124</xdr:colOff>
      <xdr:row>34</xdr:row>
      <xdr:rowOff>130967</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47625</xdr:colOff>
      <xdr:row>62</xdr:row>
      <xdr:rowOff>0</xdr:rowOff>
    </xdr:from>
    <xdr:to>
      <xdr:col>3</xdr:col>
      <xdr:colOff>790575</xdr:colOff>
      <xdr:row>63</xdr:row>
      <xdr:rowOff>155575</xdr:rowOff>
    </xdr:to>
    <xdr:sp macro="" textlink="">
      <xdr:nvSpPr>
        <xdr:cNvPr id="10" name="Text Box 10">
          <a:extLst>
            <a:ext uri="{FF2B5EF4-FFF2-40B4-BE49-F238E27FC236}">
              <a16:creationId xmlns:a16="http://schemas.microsoft.com/office/drawing/2014/main" id="{ADA3AC46-A06D-4609-941B-E20404A25240}"/>
            </a:ext>
          </a:extLst>
        </xdr:cNvPr>
        <xdr:cNvSpPr txBox="1">
          <a:spLocks noChangeArrowheads="1"/>
        </xdr:cNvSpPr>
      </xdr:nvSpPr>
      <xdr:spPr bwMode="auto">
        <a:xfrm>
          <a:off x="2524125" y="13982700"/>
          <a:ext cx="74295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s-CO" sz="1000" b="0" i="0" u="none" strike="noStrike" baseline="0">
              <a:solidFill>
                <a:srgbClr val="000000"/>
              </a:solidFill>
              <a:latin typeface="Arial"/>
              <a:cs typeface="Arial"/>
            </a:rPr>
            <a:t>Linea de Tendencia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104775</xdr:rowOff>
    </xdr:from>
    <xdr:to>
      <xdr:col>5</xdr:col>
      <xdr:colOff>547688</xdr:colOff>
      <xdr:row>31</xdr:row>
      <xdr:rowOff>9525</xdr:rowOff>
    </xdr:to>
    <xdr:graphicFrame macro="">
      <xdr:nvGraphicFramePr>
        <xdr:cNvPr id="2" name="Chart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124</xdr:row>
      <xdr:rowOff>152400</xdr:rowOff>
    </xdr:from>
    <xdr:to>
      <xdr:col>3</xdr:col>
      <xdr:colOff>600075</xdr:colOff>
      <xdr:row>142</xdr:row>
      <xdr:rowOff>142875</xdr:rowOff>
    </xdr:to>
    <xdr:graphicFrame macro="">
      <xdr:nvGraphicFramePr>
        <xdr:cNvPr id="3" name="Chart 3">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0.34604</cdr:x>
      <cdr:y>0.28466</cdr:y>
    </cdr:from>
    <cdr:to>
      <cdr:x>0.65107</cdr:x>
      <cdr:y>0.28855</cdr:y>
    </cdr:to>
    <cdr:sp macro="" textlink="">
      <cdr:nvSpPr>
        <cdr:cNvPr id="79873" name="4 Conector recto"/>
        <cdr:cNvSpPr>
          <a:spLocks xmlns:a="http://schemas.openxmlformats.org/drawingml/2006/main" noChangeShapeType="1"/>
        </cdr:cNvSpPr>
      </cdr:nvSpPr>
      <cdr:spPr bwMode="auto">
        <a:xfrm xmlns:a="http://schemas.openxmlformats.org/drawingml/2006/main">
          <a:off x="2557887" y="928291"/>
          <a:ext cx="1900297" cy="10370"/>
        </a:xfrm>
        <a:prstGeom xmlns:a="http://schemas.openxmlformats.org/drawingml/2006/main" prst="line">
          <a:avLst/>
        </a:prstGeom>
        <a:noFill xmlns:a="http://schemas.openxmlformats.org/drawingml/2006/main"/>
        <a:ln xmlns:a="http://schemas.openxmlformats.org/drawingml/2006/main" w="50800" algn="ctr">
          <a:solidFill>
            <a:srgbClr val="008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0.35934</cdr:x>
      <cdr:y>0.51728</cdr:y>
    </cdr:from>
    <cdr:to>
      <cdr:x>0.65206</cdr:x>
      <cdr:y>0.52068</cdr:y>
    </cdr:to>
    <cdr:sp macro="" textlink="">
      <cdr:nvSpPr>
        <cdr:cNvPr id="79874" name="4 Conector recto"/>
        <cdr:cNvSpPr>
          <a:spLocks xmlns:a="http://schemas.openxmlformats.org/drawingml/2006/main" noChangeShapeType="1"/>
        </cdr:cNvSpPr>
      </cdr:nvSpPr>
      <cdr:spPr bwMode="auto">
        <a:xfrm xmlns:a="http://schemas.openxmlformats.org/drawingml/2006/main">
          <a:off x="2639445" y="1580027"/>
          <a:ext cx="1825264" cy="9572"/>
        </a:xfrm>
        <a:prstGeom xmlns:a="http://schemas.openxmlformats.org/drawingml/2006/main" prst="line">
          <a:avLst/>
        </a:prstGeom>
        <a:noFill xmlns:a="http://schemas.openxmlformats.org/drawingml/2006/main"/>
        <a:ln xmlns:a="http://schemas.openxmlformats.org/drawingml/2006/main" w="50800" algn="ctr">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0.46086</cdr:x>
      <cdr:y>0.21455</cdr:y>
    </cdr:from>
    <cdr:to>
      <cdr:x>0.52541</cdr:x>
      <cdr:y>0.28952</cdr:y>
    </cdr:to>
    <cdr:sp macro="" textlink="">
      <cdr:nvSpPr>
        <cdr:cNvPr id="79875" name="Text Box 3"/>
        <cdr:cNvSpPr txBox="1">
          <a:spLocks xmlns:a="http://schemas.openxmlformats.org/drawingml/2006/main" noChangeArrowheads="1"/>
        </cdr:cNvSpPr>
      </cdr:nvSpPr>
      <cdr:spPr bwMode="auto">
        <a:xfrm xmlns:a="http://schemas.openxmlformats.org/drawingml/2006/main">
          <a:off x="3273965" y="731254"/>
          <a:ext cx="402895" cy="2098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1">
            <a:defRPr sz="1000"/>
          </a:pPr>
          <a:r>
            <a:rPr lang="es-CO" sz="1175" b="1" i="0" strike="noStrike">
              <a:solidFill>
                <a:srgbClr val="000000"/>
              </a:solidFill>
              <a:latin typeface="Arial"/>
              <a:cs typeface="Arial"/>
            </a:rPr>
            <a:t>80%</a:t>
          </a:r>
        </a:p>
      </cdr:txBody>
    </cdr:sp>
  </cdr:relSizeAnchor>
  <cdr:relSizeAnchor xmlns:cdr="http://schemas.openxmlformats.org/drawingml/2006/chartDrawing">
    <cdr:from>
      <cdr:x>0.45051</cdr:x>
      <cdr:y>0.45956</cdr:y>
    </cdr:from>
    <cdr:to>
      <cdr:x>0.55005</cdr:x>
      <cdr:y>0.55464</cdr:y>
    </cdr:to>
    <cdr:sp macro="" textlink="">
      <cdr:nvSpPr>
        <cdr:cNvPr id="79876" name="Text Box 4"/>
        <cdr:cNvSpPr txBox="1">
          <a:spLocks xmlns:a="http://schemas.openxmlformats.org/drawingml/2006/main" noChangeArrowheads="1"/>
        </cdr:cNvSpPr>
      </cdr:nvSpPr>
      <cdr:spPr bwMode="auto">
        <a:xfrm xmlns:a="http://schemas.openxmlformats.org/drawingml/2006/main">
          <a:off x="3208719" y="1417292"/>
          <a:ext cx="621470" cy="2672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CO" sz="975" b="1" i="0" strike="noStrike">
              <a:solidFill>
                <a:srgbClr val="000000"/>
              </a:solidFill>
              <a:latin typeface="Arial"/>
              <a:cs typeface="Arial"/>
            </a:rPr>
            <a:t>51,4%</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1133475</xdr:colOff>
      <xdr:row>0</xdr:row>
      <xdr:rowOff>0</xdr:rowOff>
    </xdr:from>
    <xdr:to>
      <xdr:col>1</xdr:col>
      <xdr:colOff>352425</xdr:colOff>
      <xdr:row>0</xdr:row>
      <xdr:rowOff>723900</xdr:rowOff>
    </xdr:to>
    <xdr:pic>
      <xdr:nvPicPr>
        <xdr:cNvPr id="2" name="Picture 1" descr="escudo_u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773907</xdr:colOff>
      <xdr:row>20</xdr:row>
      <xdr:rowOff>598883</xdr:rowOff>
    </xdr:from>
    <xdr:to>
      <xdr:col>4</xdr:col>
      <xdr:colOff>500063</xdr:colOff>
      <xdr:row>25</xdr:row>
      <xdr:rowOff>511969</xdr:rowOff>
    </xdr:to>
    <xdr:graphicFrame macro="">
      <xdr:nvGraphicFramePr>
        <xdr:cNvPr id="3" name="5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285750</xdr:colOff>
      <xdr:row>40</xdr:row>
      <xdr:rowOff>1152524</xdr:rowOff>
    </xdr:from>
    <xdr:to>
      <xdr:col>16</xdr:col>
      <xdr:colOff>23812</xdr:colOff>
      <xdr:row>54</xdr:row>
      <xdr:rowOff>154780</xdr:rowOff>
    </xdr:to>
    <xdr:graphicFrame macro="">
      <xdr:nvGraphicFramePr>
        <xdr:cNvPr id="6" name="Gráfico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294409</xdr:colOff>
      <xdr:row>25</xdr:row>
      <xdr:rowOff>22512</xdr:rowOff>
    </xdr:from>
    <xdr:to>
      <xdr:col>24</xdr:col>
      <xdr:colOff>588818</xdr:colOff>
      <xdr:row>72</xdr:row>
      <xdr:rowOff>86590</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294409</xdr:colOff>
      <xdr:row>25</xdr:row>
      <xdr:rowOff>22512</xdr:rowOff>
    </xdr:from>
    <xdr:to>
      <xdr:col>24</xdr:col>
      <xdr:colOff>588818</xdr:colOff>
      <xdr:row>72</xdr:row>
      <xdr:rowOff>86590</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294409</xdr:colOff>
      <xdr:row>25</xdr:row>
      <xdr:rowOff>22512</xdr:rowOff>
    </xdr:from>
    <xdr:to>
      <xdr:col>24</xdr:col>
      <xdr:colOff>588818</xdr:colOff>
      <xdr:row>72</xdr:row>
      <xdr:rowOff>86590</xdr:rowOff>
    </xdr:to>
    <xdr:graphicFrame macro="">
      <xdr:nvGraphicFramePr>
        <xdr:cNvPr id="4" name="Gráfico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790575</xdr:colOff>
      <xdr:row>32</xdr:row>
      <xdr:rowOff>161925</xdr:rowOff>
    </xdr:from>
    <xdr:to>
      <xdr:col>21</xdr:col>
      <xdr:colOff>666750</xdr:colOff>
      <xdr:row>68</xdr:row>
      <xdr:rowOff>38100</xdr:rowOff>
    </xdr:to>
    <xdr:graphicFrame macro="">
      <xdr:nvGraphicFramePr>
        <xdr:cNvPr id="2" name="1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24</xdr:col>
      <xdr:colOff>561975</xdr:colOff>
      <xdr:row>16</xdr:row>
      <xdr:rowOff>123825</xdr:rowOff>
    </xdr:from>
    <xdr:to>
      <xdr:col>30</xdr:col>
      <xdr:colOff>561975</xdr:colOff>
      <xdr:row>30</xdr:row>
      <xdr:rowOff>180975</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561975</xdr:colOff>
      <xdr:row>16</xdr:row>
      <xdr:rowOff>123825</xdr:rowOff>
    </xdr:from>
    <xdr:to>
      <xdr:col>30</xdr:col>
      <xdr:colOff>561975</xdr:colOff>
      <xdr:row>30</xdr:row>
      <xdr:rowOff>180975</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638175</xdr:colOff>
      <xdr:row>3</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0" y="485775"/>
          <a:ext cx="638175" cy="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0</xdr:col>
      <xdr:colOff>638175</xdr:colOff>
      <xdr:row>3</xdr:row>
      <xdr:rowOff>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0" y="485775"/>
          <a:ext cx="638175" cy="0"/>
        </a:xfrm>
        <a:prstGeom prst="line">
          <a:avLst/>
        </a:prstGeom>
        <a:noFill/>
        <a:ln w="9525">
          <a:solidFill>
            <a:srgbClr val="000000"/>
          </a:solidFill>
          <a:round/>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4" name="Text Box 134">
          <a:extLst>
            <a:ext uri="{FF2B5EF4-FFF2-40B4-BE49-F238E27FC236}">
              <a16:creationId xmlns:a16="http://schemas.microsoft.com/office/drawing/2014/main" id="{00000000-0008-0000-0C00-000004000000}"/>
            </a:ext>
          </a:extLst>
        </xdr:cNvPr>
        <xdr:cNvSpPr txBox="1">
          <a:spLocks noChangeArrowheads="1"/>
        </xdr:cNvSpPr>
      </xdr:nvSpPr>
      <xdr:spPr bwMode="auto">
        <a:xfrm>
          <a:off x="1924050" y="485775"/>
          <a:ext cx="123825" cy="933450"/>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5" name="Text Box 135">
          <a:extLst>
            <a:ext uri="{FF2B5EF4-FFF2-40B4-BE49-F238E27FC236}">
              <a16:creationId xmlns:a16="http://schemas.microsoft.com/office/drawing/2014/main" id="{00000000-0008-0000-0C00-000005000000}"/>
            </a:ext>
          </a:extLst>
        </xdr:cNvPr>
        <xdr:cNvSpPr txBox="1">
          <a:spLocks noChangeArrowheads="1"/>
        </xdr:cNvSpPr>
      </xdr:nvSpPr>
      <xdr:spPr bwMode="auto">
        <a:xfrm>
          <a:off x="1924050" y="485775"/>
          <a:ext cx="123825" cy="933450"/>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6" name="Text Box 142">
          <a:extLst>
            <a:ext uri="{FF2B5EF4-FFF2-40B4-BE49-F238E27FC236}">
              <a16:creationId xmlns:a16="http://schemas.microsoft.com/office/drawing/2014/main" id="{00000000-0008-0000-0C00-000006000000}"/>
            </a:ext>
          </a:extLst>
        </xdr:cNvPr>
        <xdr:cNvSpPr txBox="1">
          <a:spLocks noChangeArrowheads="1"/>
        </xdr:cNvSpPr>
      </xdr:nvSpPr>
      <xdr:spPr bwMode="auto">
        <a:xfrm>
          <a:off x="1924050" y="485775"/>
          <a:ext cx="123825" cy="933450"/>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7" name="Text Box 143">
          <a:extLst>
            <a:ext uri="{FF2B5EF4-FFF2-40B4-BE49-F238E27FC236}">
              <a16:creationId xmlns:a16="http://schemas.microsoft.com/office/drawing/2014/main" id="{00000000-0008-0000-0C00-000007000000}"/>
            </a:ext>
          </a:extLst>
        </xdr:cNvPr>
        <xdr:cNvSpPr txBox="1">
          <a:spLocks noChangeArrowheads="1"/>
        </xdr:cNvSpPr>
      </xdr:nvSpPr>
      <xdr:spPr bwMode="auto">
        <a:xfrm>
          <a:off x="1924050" y="485775"/>
          <a:ext cx="123825" cy="933450"/>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8" name="Text Box 144">
          <a:extLst>
            <a:ext uri="{FF2B5EF4-FFF2-40B4-BE49-F238E27FC236}">
              <a16:creationId xmlns:a16="http://schemas.microsoft.com/office/drawing/2014/main" id="{00000000-0008-0000-0C00-000008000000}"/>
            </a:ext>
          </a:extLst>
        </xdr:cNvPr>
        <xdr:cNvSpPr txBox="1">
          <a:spLocks noChangeArrowheads="1"/>
        </xdr:cNvSpPr>
      </xdr:nvSpPr>
      <xdr:spPr bwMode="auto">
        <a:xfrm>
          <a:off x="1924050" y="485775"/>
          <a:ext cx="123825" cy="933450"/>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9" name="Text Box 145">
          <a:extLst>
            <a:ext uri="{FF2B5EF4-FFF2-40B4-BE49-F238E27FC236}">
              <a16:creationId xmlns:a16="http://schemas.microsoft.com/office/drawing/2014/main" id="{00000000-0008-0000-0C00-000009000000}"/>
            </a:ext>
          </a:extLst>
        </xdr:cNvPr>
        <xdr:cNvSpPr txBox="1">
          <a:spLocks noChangeArrowheads="1"/>
        </xdr:cNvSpPr>
      </xdr:nvSpPr>
      <xdr:spPr bwMode="auto">
        <a:xfrm>
          <a:off x="1924050" y="485775"/>
          <a:ext cx="123825" cy="933450"/>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0" name="Text Box 146">
          <a:extLst>
            <a:ext uri="{FF2B5EF4-FFF2-40B4-BE49-F238E27FC236}">
              <a16:creationId xmlns:a16="http://schemas.microsoft.com/office/drawing/2014/main" id="{00000000-0008-0000-0C00-00000A000000}"/>
            </a:ext>
          </a:extLst>
        </xdr:cNvPr>
        <xdr:cNvSpPr txBox="1">
          <a:spLocks noChangeArrowheads="1"/>
        </xdr:cNvSpPr>
      </xdr:nvSpPr>
      <xdr:spPr bwMode="auto">
        <a:xfrm>
          <a:off x="1924050" y="485775"/>
          <a:ext cx="123825" cy="933450"/>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1" name="Text Box 147">
          <a:extLst>
            <a:ext uri="{FF2B5EF4-FFF2-40B4-BE49-F238E27FC236}">
              <a16:creationId xmlns:a16="http://schemas.microsoft.com/office/drawing/2014/main" id="{00000000-0008-0000-0C00-00000B000000}"/>
            </a:ext>
          </a:extLst>
        </xdr:cNvPr>
        <xdr:cNvSpPr txBox="1">
          <a:spLocks noChangeArrowheads="1"/>
        </xdr:cNvSpPr>
      </xdr:nvSpPr>
      <xdr:spPr bwMode="auto">
        <a:xfrm>
          <a:off x="1924050" y="485775"/>
          <a:ext cx="123825" cy="933450"/>
        </a:xfrm>
        <a:prstGeom prst="rect">
          <a:avLst/>
        </a:prstGeom>
        <a:noFill/>
        <a:ln w="9525">
          <a:noFill/>
          <a:miter lim="800000"/>
          <a:headEnd/>
          <a:tailEnd/>
        </a:ln>
      </xdr:spPr>
    </xdr:sp>
    <xdr:clientData/>
  </xdr:twoCellAnchor>
  <xdr:twoCellAnchor editAs="oneCell">
    <xdr:from>
      <xdr:col>1</xdr:col>
      <xdr:colOff>1685925</xdr:colOff>
      <xdr:row>12</xdr:row>
      <xdr:rowOff>0</xdr:rowOff>
    </xdr:from>
    <xdr:to>
      <xdr:col>2</xdr:col>
      <xdr:colOff>114300</xdr:colOff>
      <xdr:row>14</xdr:row>
      <xdr:rowOff>33528</xdr:rowOff>
    </xdr:to>
    <xdr:sp macro="" textlink="">
      <xdr:nvSpPr>
        <xdr:cNvPr id="12" name="Text Box 136">
          <a:extLst>
            <a:ext uri="{FF2B5EF4-FFF2-40B4-BE49-F238E27FC236}">
              <a16:creationId xmlns:a16="http://schemas.microsoft.com/office/drawing/2014/main" id="{00000000-0008-0000-0C00-00000C000000}"/>
            </a:ext>
          </a:extLst>
        </xdr:cNvPr>
        <xdr:cNvSpPr txBox="1">
          <a:spLocks noChangeArrowheads="1"/>
        </xdr:cNvSpPr>
      </xdr:nvSpPr>
      <xdr:spPr bwMode="auto">
        <a:xfrm>
          <a:off x="1924050" y="485775"/>
          <a:ext cx="114300" cy="1076325"/>
        </a:xfrm>
        <a:prstGeom prst="rect">
          <a:avLst/>
        </a:prstGeom>
        <a:noFill/>
        <a:ln w="9525">
          <a:noFill/>
          <a:miter lim="800000"/>
          <a:headEnd/>
          <a:tailEnd/>
        </a:ln>
      </xdr:spPr>
    </xdr:sp>
    <xdr:clientData/>
  </xdr:twoCellAnchor>
  <xdr:twoCellAnchor editAs="oneCell">
    <xdr:from>
      <xdr:col>1</xdr:col>
      <xdr:colOff>1685925</xdr:colOff>
      <xdr:row>12</xdr:row>
      <xdr:rowOff>0</xdr:rowOff>
    </xdr:from>
    <xdr:to>
      <xdr:col>2</xdr:col>
      <xdr:colOff>114300</xdr:colOff>
      <xdr:row>14</xdr:row>
      <xdr:rowOff>33528</xdr:rowOff>
    </xdr:to>
    <xdr:sp macro="" textlink="">
      <xdr:nvSpPr>
        <xdr:cNvPr id="13" name="Text Box 137">
          <a:extLst>
            <a:ext uri="{FF2B5EF4-FFF2-40B4-BE49-F238E27FC236}">
              <a16:creationId xmlns:a16="http://schemas.microsoft.com/office/drawing/2014/main" id="{00000000-0008-0000-0C00-00000D000000}"/>
            </a:ext>
          </a:extLst>
        </xdr:cNvPr>
        <xdr:cNvSpPr txBox="1">
          <a:spLocks noChangeArrowheads="1"/>
        </xdr:cNvSpPr>
      </xdr:nvSpPr>
      <xdr:spPr bwMode="auto">
        <a:xfrm>
          <a:off x="1924050" y="485775"/>
          <a:ext cx="114300" cy="1076325"/>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14" name="Text Box 150">
          <a:extLst>
            <a:ext uri="{FF2B5EF4-FFF2-40B4-BE49-F238E27FC236}">
              <a16:creationId xmlns:a16="http://schemas.microsoft.com/office/drawing/2014/main" id="{00000000-0008-0000-0C00-00000E000000}"/>
            </a:ext>
          </a:extLst>
        </xdr:cNvPr>
        <xdr:cNvSpPr txBox="1">
          <a:spLocks noChangeArrowheads="1"/>
        </xdr:cNvSpPr>
      </xdr:nvSpPr>
      <xdr:spPr bwMode="auto">
        <a:xfrm>
          <a:off x="1924050" y="485775"/>
          <a:ext cx="123825" cy="1076325"/>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15" name="Text Box 151">
          <a:extLst>
            <a:ext uri="{FF2B5EF4-FFF2-40B4-BE49-F238E27FC236}">
              <a16:creationId xmlns:a16="http://schemas.microsoft.com/office/drawing/2014/main" id="{00000000-0008-0000-0C00-00000F000000}"/>
            </a:ext>
          </a:extLst>
        </xdr:cNvPr>
        <xdr:cNvSpPr txBox="1">
          <a:spLocks noChangeArrowheads="1"/>
        </xdr:cNvSpPr>
      </xdr:nvSpPr>
      <xdr:spPr bwMode="auto">
        <a:xfrm>
          <a:off x="1924050" y="485775"/>
          <a:ext cx="123825" cy="1076325"/>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16" name="Text Box 152">
          <a:extLst>
            <a:ext uri="{FF2B5EF4-FFF2-40B4-BE49-F238E27FC236}">
              <a16:creationId xmlns:a16="http://schemas.microsoft.com/office/drawing/2014/main" id="{00000000-0008-0000-0C00-000010000000}"/>
            </a:ext>
          </a:extLst>
        </xdr:cNvPr>
        <xdr:cNvSpPr txBox="1">
          <a:spLocks noChangeArrowheads="1"/>
        </xdr:cNvSpPr>
      </xdr:nvSpPr>
      <xdr:spPr bwMode="auto">
        <a:xfrm>
          <a:off x="1924050" y="485775"/>
          <a:ext cx="123825" cy="1076325"/>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17" name="Text Box 153">
          <a:extLst>
            <a:ext uri="{FF2B5EF4-FFF2-40B4-BE49-F238E27FC236}">
              <a16:creationId xmlns:a16="http://schemas.microsoft.com/office/drawing/2014/main" id="{00000000-0008-0000-0C00-000011000000}"/>
            </a:ext>
          </a:extLst>
        </xdr:cNvPr>
        <xdr:cNvSpPr txBox="1">
          <a:spLocks noChangeArrowheads="1"/>
        </xdr:cNvSpPr>
      </xdr:nvSpPr>
      <xdr:spPr bwMode="auto">
        <a:xfrm>
          <a:off x="1924050" y="485775"/>
          <a:ext cx="123825" cy="1076325"/>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8" name="Text Box 154">
          <a:extLst>
            <a:ext uri="{FF2B5EF4-FFF2-40B4-BE49-F238E27FC236}">
              <a16:creationId xmlns:a16="http://schemas.microsoft.com/office/drawing/2014/main" id="{00000000-0008-0000-0C00-000012000000}"/>
            </a:ext>
          </a:extLst>
        </xdr:cNvPr>
        <xdr:cNvSpPr txBox="1">
          <a:spLocks noChangeArrowheads="1"/>
        </xdr:cNvSpPr>
      </xdr:nvSpPr>
      <xdr:spPr bwMode="auto">
        <a:xfrm>
          <a:off x="1924050" y="485775"/>
          <a:ext cx="123825" cy="933450"/>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9" name="Text Box 155">
          <a:extLst>
            <a:ext uri="{FF2B5EF4-FFF2-40B4-BE49-F238E27FC236}">
              <a16:creationId xmlns:a16="http://schemas.microsoft.com/office/drawing/2014/main" id="{00000000-0008-0000-0C00-000013000000}"/>
            </a:ext>
          </a:extLst>
        </xdr:cNvPr>
        <xdr:cNvSpPr txBox="1">
          <a:spLocks noChangeArrowheads="1"/>
        </xdr:cNvSpPr>
      </xdr:nvSpPr>
      <xdr:spPr bwMode="auto">
        <a:xfrm>
          <a:off x="1924050" y="485775"/>
          <a:ext cx="123825" cy="933450"/>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0" name="Text Box 156">
          <a:extLst>
            <a:ext uri="{FF2B5EF4-FFF2-40B4-BE49-F238E27FC236}">
              <a16:creationId xmlns:a16="http://schemas.microsoft.com/office/drawing/2014/main" id="{00000000-0008-0000-0C00-000014000000}"/>
            </a:ext>
          </a:extLst>
        </xdr:cNvPr>
        <xdr:cNvSpPr txBox="1">
          <a:spLocks noChangeArrowheads="1"/>
        </xdr:cNvSpPr>
      </xdr:nvSpPr>
      <xdr:spPr bwMode="auto">
        <a:xfrm>
          <a:off x="1924050" y="485775"/>
          <a:ext cx="123825" cy="933450"/>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1" name="Text Box 157">
          <a:extLst>
            <a:ext uri="{FF2B5EF4-FFF2-40B4-BE49-F238E27FC236}">
              <a16:creationId xmlns:a16="http://schemas.microsoft.com/office/drawing/2014/main" id="{00000000-0008-0000-0C00-000015000000}"/>
            </a:ext>
          </a:extLst>
        </xdr:cNvPr>
        <xdr:cNvSpPr txBox="1">
          <a:spLocks noChangeArrowheads="1"/>
        </xdr:cNvSpPr>
      </xdr:nvSpPr>
      <xdr:spPr bwMode="auto">
        <a:xfrm>
          <a:off x="1924050" y="485775"/>
          <a:ext cx="123825" cy="933450"/>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2" name="Text Box 159">
          <a:extLst>
            <a:ext uri="{FF2B5EF4-FFF2-40B4-BE49-F238E27FC236}">
              <a16:creationId xmlns:a16="http://schemas.microsoft.com/office/drawing/2014/main" id="{00000000-0008-0000-0C00-000016000000}"/>
            </a:ext>
          </a:extLst>
        </xdr:cNvPr>
        <xdr:cNvSpPr txBox="1">
          <a:spLocks noChangeArrowheads="1"/>
        </xdr:cNvSpPr>
      </xdr:nvSpPr>
      <xdr:spPr bwMode="auto">
        <a:xfrm>
          <a:off x="2676525" y="485775"/>
          <a:ext cx="123825" cy="933450"/>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3" name="Text Box 160">
          <a:extLst>
            <a:ext uri="{FF2B5EF4-FFF2-40B4-BE49-F238E27FC236}">
              <a16:creationId xmlns:a16="http://schemas.microsoft.com/office/drawing/2014/main" id="{00000000-0008-0000-0C00-000017000000}"/>
            </a:ext>
          </a:extLst>
        </xdr:cNvPr>
        <xdr:cNvSpPr txBox="1">
          <a:spLocks noChangeArrowheads="1"/>
        </xdr:cNvSpPr>
      </xdr:nvSpPr>
      <xdr:spPr bwMode="auto">
        <a:xfrm>
          <a:off x="2676525" y="485775"/>
          <a:ext cx="123825" cy="933450"/>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4" name="Text Box 161">
          <a:extLst>
            <a:ext uri="{FF2B5EF4-FFF2-40B4-BE49-F238E27FC236}">
              <a16:creationId xmlns:a16="http://schemas.microsoft.com/office/drawing/2014/main" id="{00000000-0008-0000-0C00-000018000000}"/>
            </a:ext>
          </a:extLst>
        </xdr:cNvPr>
        <xdr:cNvSpPr txBox="1">
          <a:spLocks noChangeArrowheads="1"/>
        </xdr:cNvSpPr>
      </xdr:nvSpPr>
      <xdr:spPr bwMode="auto">
        <a:xfrm>
          <a:off x="2676525" y="485775"/>
          <a:ext cx="123825" cy="933450"/>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5" name="Text Box 162">
          <a:extLst>
            <a:ext uri="{FF2B5EF4-FFF2-40B4-BE49-F238E27FC236}">
              <a16:creationId xmlns:a16="http://schemas.microsoft.com/office/drawing/2014/main" id="{00000000-0008-0000-0C00-000019000000}"/>
            </a:ext>
          </a:extLst>
        </xdr:cNvPr>
        <xdr:cNvSpPr txBox="1">
          <a:spLocks noChangeArrowheads="1"/>
        </xdr:cNvSpPr>
      </xdr:nvSpPr>
      <xdr:spPr bwMode="auto">
        <a:xfrm>
          <a:off x="2676525" y="485775"/>
          <a:ext cx="123825" cy="933450"/>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6" name="Text Box 163">
          <a:extLst>
            <a:ext uri="{FF2B5EF4-FFF2-40B4-BE49-F238E27FC236}">
              <a16:creationId xmlns:a16="http://schemas.microsoft.com/office/drawing/2014/main" id="{00000000-0008-0000-0C00-00001A000000}"/>
            </a:ext>
          </a:extLst>
        </xdr:cNvPr>
        <xdr:cNvSpPr txBox="1">
          <a:spLocks noChangeArrowheads="1"/>
        </xdr:cNvSpPr>
      </xdr:nvSpPr>
      <xdr:spPr bwMode="auto">
        <a:xfrm>
          <a:off x="2676525" y="485775"/>
          <a:ext cx="123825" cy="933450"/>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7" name="Text Box 164">
          <a:extLst>
            <a:ext uri="{FF2B5EF4-FFF2-40B4-BE49-F238E27FC236}">
              <a16:creationId xmlns:a16="http://schemas.microsoft.com/office/drawing/2014/main" id="{00000000-0008-0000-0C00-00001B000000}"/>
            </a:ext>
          </a:extLst>
        </xdr:cNvPr>
        <xdr:cNvSpPr txBox="1">
          <a:spLocks noChangeArrowheads="1"/>
        </xdr:cNvSpPr>
      </xdr:nvSpPr>
      <xdr:spPr bwMode="auto">
        <a:xfrm>
          <a:off x="2676525" y="485775"/>
          <a:ext cx="123825" cy="933450"/>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8" name="Text Box 165">
          <a:extLst>
            <a:ext uri="{FF2B5EF4-FFF2-40B4-BE49-F238E27FC236}">
              <a16:creationId xmlns:a16="http://schemas.microsoft.com/office/drawing/2014/main" id="{00000000-0008-0000-0C00-00001C000000}"/>
            </a:ext>
          </a:extLst>
        </xdr:cNvPr>
        <xdr:cNvSpPr txBox="1">
          <a:spLocks noChangeArrowheads="1"/>
        </xdr:cNvSpPr>
      </xdr:nvSpPr>
      <xdr:spPr bwMode="auto">
        <a:xfrm>
          <a:off x="2676525" y="485775"/>
          <a:ext cx="123825" cy="933450"/>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9" name="Text Box 166">
          <a:extLst>
            <a:ext uri="{FF2B5EF4-FFF2-40B4-BE49-F238E27FC236}">
              <a16:creationId xmlns:a16="http://schemas.microsoft.com/office/drawing/2014/main" id="{00000000-0008-0000-0C00-00001D000000}"/>
            </a:ext>
          </a:extLst>
        </xdr:cNvPr>
        <xdr:cNvSpPr txBox="1">
          <a:spLocks noChangeArrowheads="1"/>
        </xdr:cNvSpPr>
      </xdr:nvSpPr>
      <xdr:spPr bwMode="auto">
        <a:xfrm>
          <a:off x="2676525" y="485775"/>
          <a:ext cx="123825" cy="933450"/>
        </a:xfrm>
        <a:prstGeom prst="rect">
          <a:avLst/>
        </a:prstGeom>
        <a:noFill/>
        <a:ln w="9525">
          <a:noFill/>
          <a:miter lim="800000"/>
          <a:headEnd/>
          <a:tailEnd/>
        </a:ln>
      </xdr:spPr>
    </xdr:sp>
    <xdr:clientData/>
  </xdr:twoCellAnchor>
  <xdr:twoCellAnchor editAs="oneCell">
    <xdr:from>
      <xdr:col>2</xdr:col>
      <xdr:colOff>1685925</xdr:colOff>
      <xdr:row>12</xdr:row>
      <xdr:rowOff>0</xdr:rowOff>
    </xdr:from>
    <xdr:to>
      <xdr:col>3</xdr:col>
      <xdr:colOff>114300</xdr:colOff>
      <xdr:row>14</xdr:row>
      <xdr:rowOff>33528</xdr:rowOff>
    </xdr:to>
    <xdr:sp macro="" textlink="">
      <xdr:nvSpPr>
        <xdr:cNvPr id="30" name="Text Box 167">
          <a:extLst>
            <a:ext uri="{FF2B5EF4-FFF2-40B4-BE49-F238E27FC236}">
              <a16:creationId xmlns:a16="http://schemas.microsoft.com/office/drawing/2014/main" id="{00000000-0008-0000-0C00-00001E000000}"/>
            </a:ext>
          </a:extLst>
        </xdr:cNvPr>
        <xdr:cNvSpPr txBox="1">
          <a:spLocks noChangeArrowheads="1"/>
        </xdr:cNvSpPr>
      </xdr:nvSpPr>
      <xdr:spPr bwMode="auto">
        <a:xfrm>
          <a:off x="2676525" y="485775"/>
          <a:ext cx="114300" cy="1076325"/>
        </a:xfrm>
        <a:prstGeom prst="rect">
          <a:avLst/>
        </a:prstGeom>
        <a:noFill/>
        <a:ln w="9525">
          <a:noFill/>
          <a:miter lim="800000"/>
          <a:headEnd/>
          <a:tailEnd/>
        </a:ln>
      </xdr:spPr>
    </xdr:sp>
    <xdr:clientData/>
  </xdr:twoCellAnchor>
  <xdr:twoCellAnchor editAs="oneCell">
    <xdr:from>
      <xdr:col>2</xdr:col>
      <xdr:colOff>1685925</xdr:colOff>
      <xdr:row>12</xdr:row>
      <xdr:rowOff>0</xdr:rowOff>
    </xdr:from>
    <xdr:to>
      <xdr:col>3</xdr:col>
      <xdr:colOff>114300</xdr:colOff>
      <xdr:row>14</xdr:row>
      <xdr:rowOff>33528</xdr:rowOff>
    </xdr:to>
    <xdr:sp macro="" textlink="">
      <xdr:nvSpPr>
        <xdr:cNvPr id="31" name="Text Box 168">
          <a:extLst>
            <a:ext uri="{FF2B5EF4-FFF2-40B4-BE49-F238E27FC236}">
              <a16:creationId xmlns:a16="http://schemas.microsoft.com/office/drawing/2014/main" id="{00000000-0008-0000-0C00-00001F000000}"/>
            </a:ext>
          </a:extLst>
        </xdr:cNvPr>
        <xdr:cNvSpPr txBox="1">
          <a:spLocks noChangeArrowheads="1"/>
        </xdr:cNvSpPr>
      </xdr:nvSpPr>
      <xdr:spPr bwMode="auto">
        <a:xfrm>
          <a:off x="2676525" y="485775"/>
          <a:ext cx="114300" cy="1076325"/>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32" name="Text Box 169">
          <a:extLst>
            <a:ext uri="{FF2B5EF4-FFF2-40B4-BE49-F238E27FC236}">
              <a16:creationId xmlns:a16="http://schemas.microsoft.com/office/drawing/2014/main" id="{00000000-0008-0000-0C00-000020000000}"/>
            </a:ext>
          </a:extLst>
        </xdr:cNvPr>
        <xdr:cNvSpPr txBox="1">
          <a:spLocks noChangeArrowheads="1"/>
        </xdr:cNvSpPr>
      </xdr:nvSpPr>
      <xdr:spPr bwMode="auto">
        <a:xfrm>
          <a:off x="2676525" y="485775"/>
          <a:ext cx="123825" cy="1076325"/>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33" name="Text Box 170">
          <a:extLst>
            <a:ext uri="{FF2B5EF4-FFF2-40B4-BE49-F238E27FC236}">
              <a16:creationId xmlns:a16="http://schemas.microsoft.com/office/drawing/2014/main" id="{00000000-0008-0000-0C00-000021000000}"/>
            </a:ext>
          </a:extLst>
        </xdr:cNvPr>
        <xdr:cNvSpPr txBox="1">
          <a:spLocks noChangeArrowheads="1"/>
        </xdr:cNvSpPr>
      </xdr:nvSpPr>
      <xdr:spPr bwMode="auto">
        <a:xfrm>
          <a:off x="2676525" y="485775"/>
          <a:ext cx="123825" cy="1076325"/>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34" name="Text Box 171">
          <a:extLst>
            <a:ext uri="{FF2B5EF4-FFF2-40B4-BE49-F238E27FC236}">
              <a16:creationId xmlns:a16="http://schemas.microsoft.com/office/drawing/2014/main" id="{00000000-0008-0000-0C00-000022000000}"/>
            </a:ext>
          </a:extLst>
        </xdr:cNvPr>
        <xdr:cNvSpPr txBox="1">
          <a:spLocks noChangeArrowheads="1"/>
        </xdr:cNvSpPr>
      </xdr:nvSpPr>
      <xdr:spPr bwMode="auto">
        <a:xfrm>
          <a:off x="2676525" y="485775"/>
          <a:ext cx="123825" cy="1076325"/>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35" name="Text Box 172">
          <a:extLst>
            <a:ext uri="{FF2B5EF4-FFF2-40B4-BE49-F238E27FC236}">
              <a16:creationId xmlns:a16="http://schemas.microsoft.com/office/drawing/2014/main" id="{00000000-0008-0000-0C00-000023000000}"/>
            </a:ext>
          </a:extLst>
        </xdr:cNvPr>
        <xdr:cNvSpPr txBox="1">
          <a:spLocks noChangeArrowheads="1"/>
        </xdr:cNvSpPr>
      </xdr:nvSpPr>
      <xdr:spPr bwMode="auto">
        <a:xfrm>
          <a:off x="2676525" y="485775"/>
          <a:ext cx="123825" cy="1076325"/>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6" name="Text Box 173">
          <a:extLst>
            <a:ext uri="{FF2B5EF4-FFF2-40B4-BE49-F238E27FC236}">
              <a16:creationId xmlns:a16="http://schemas.microsoft.com/office/drawing/2014/main" id="{00000000-0008-0000-0C00-000024000000}"/>
            </a:ext>
          </a:extLst>
        </xdr:cNvPr>
        <xdr:cNvSpPr txBox="1">
          <a:spLocks noChangeArrowheads="1"/>
        </xdr:cNvSpPr>
      </xdr:nvSpPr>
      <xdr:spPr bwMode="auto">
        <a:xfrm>
          <a:off x="2676525" y="485775"/>
          <a:ext cx="123825" cy="933450"/>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7" name="Text Box 174">
          <a:extLst>
            <a:ext uri="{FF2B5EF4-FFF2-40B4-BE49-F238E27FC236}">
              <a16:creationId xmlns:a16="http://schemas.microsoft.com/office/drawing/2014/main" id="{00000000-0008-0000-0C00-000025000000}"/>
            </a:ext>
          </a:extLst>
        </xdr:cNvPr>
        <xdr:cNvSpPr txBox="1">
          <a:spLocks noChangeArrowheads="1"/>
        </xdr:cNvSpPr>
      </xdr:nvSpPr>
      <xdr:spPr bwMode="auto">
        <a:xfrm>
          <a:off x="2676525" y="485775"/>
          <a:ext cx="123825" cy="933450"/>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8" name="Text Box 175">
          <a:extLst>
            <a:ext uri="{FF2B5EF4-FFF2-40B4-BE49-F238E27FC236}">
              <a16:creationId xmlns:a16="http://schemas.microsoft.com/office/drawing/2014/main" id="{00000000-0008-0000-0C00-000026000000}"/>
            </a:ext>
          </a:extLst>
        </xdr:cNvPr>
        <xdr:cNvSpPr txBox="1">
          <a:spLocks noChangeArrowheads="1"/>
        </xdr:cNvSpPr>
      </xdr:nvSpPr>
      <xdr:spPr bwMode="auto">
        <a:xfrm>
          <a:off x="2676525" y="485775"/>
          <a:ext cx="123825" cy="933450"/>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9" name="Text Box 176">
          <a:extLst>
            <a:ext uri="{FF2B5EF4-FFF2-40B4-BE49-F238E27FC236}">
              <a16:creationId xmlns:a16="http://schemas.microsoft.com/office/drawing/2014/main" id="{00000000-0008-0000-0C00-000027000000}"/>
            </a:ext>
          </a:extLst>
        </xdr:cNvPr>
        <xdr:cNvSpPr txBox="1">
          <a:spLocks noChangeArrowheads="1"/>
        </xdr:cNvSpPr>
      </xdr:nvSpPr>
      <xdr:spPr bwMode="auto">
        <a:xfrm>
          <a:off x="2676525" y="485775"/>
          <a:ext cx="123825" cy="933450"/>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0" name="Text Box 178">
          <a:extLst>
            <a:ext uri="{FF2B5EF4-FFF2-40B4-BE49-F238E27FC236}">
              <a16:creationId xmlns:a16="http://schemas.microsoft.com/office/drawing/2014/main" id="{00000000-0008-0000-0C00-000028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1" name="Text Box 179">
          <a:extLst>
            <a:ext uri="{FF2B5EF4-FFF2-40B4-BE49-F238E27FC236}">
              <a16:creationId xmlns:a16="http://schemas.microsoft.com/office/drawing/2014/main" id="{00000000-0008-0000-0C00-000029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2" name="Text Box 180">
          <a:extLst>
            <a:ext uri="{FF2B5EF4-FFF2-40B4-BE49-F238E27FC236}">
              <a16:creationId xmlns:a16="http://schemas.microsoft.com/office/drawing/2014/main" id="{00000000-0008-0000-0C00-00002A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3" name="Text Box 181">
          <a:extLst>
            <a:ext uri="{FF2B5EF4-FFF2-40B4-BE49-F238E27FC236}">
              <a16:creationId xmlns:a16="http://schemas.microsoft.com/office/drawing/2014/main" id="{00000000-0008-0000-0C00-00002B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4" name="Text Box 182">
          <a:extLst>
            <a:ext uri="{FF2B5EF4-FFF2-40B4-BE49-F238E27FC236}">
              <a16:creationId xmlns:a16="http://schemas.microsoft.com/office/drawing/2014/main" id="{00000000-0008-0000-0C00-00002C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5" name="Text Box 183">
          <a:extLst>
            <a:ext uri="{FF2B5EF4-FFF2-40B4-BE49-F238E27FC236}">
              <a16:creationId xmlns:a16="http://schemas.microsoft.com/office/drawing/2014/main" id="{00000000-0008-0000-0C00-00002D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6" name="Text Box 184">
          <a:extLst>
            <a:ext uri="{FF2B5EF4-FFF2-40B4-BE49-F238E27FC236}">
              <a16:creationId xmlns:a16="http://schemas.microsoft.com/office/drawing/2014/main" id="{00000000-0008-0000-0C00-00002E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7" name="Text Box 185">
          <a:extLst>
            <a:ext uri="{FF2B5EF4-FFF2-40B4-BE49-F238E27FC236}">
              <a16:creationId xmlns:a16="http://schemas.microsoft.com/office/drawing/2014/main" id="{00000000-0008-0000-0C00-00002F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1685925</xdr:colOff>
      <xdr:row>12</xdr:row>
      <xdr:rowOff>0</xdr:rowOff>
    </xdr:from>
    <xdr:to>
      <xdr:col>4</xdr:col>
      <xdr:colOff>114300</xdr:colOff>
      <xdr:row>14</xdr:row>
      <xdr:rowOff>33528</xdr:rowOff>
    </xdr:to>
    <xdr:sp macro="" textlink="">
      <xdr:nvSpPr>
        <xdr:cNvPr id="48" name="Text Box 186">
          <a:extLst>
            <a:ext uri="{FF2B5EF4-FFF2-40B4-BE49-F238E27FC236}">
              <a16:creationId xmlns:a16="http://schemas.microsoft.com/office/drawing/2014/main" id="{00000000-0008-0000-0C00-000030000000}"/>
            </a:ext>
          </a:extLst>
        </xdr:cNvPr>
        <xdr:cNvSpPr txBox="1">
          <a:spLocks noChangeArrowheads="1"/>
        </xdr:cNvSpPr>
      </xdr:nvSpPr>
      <xdr:spPr bwMode="auto">
        <a:xfrm>
          <a:off x="3429000" y="485775"/>
          <a:ext cx="114300" cy="1076325"/>
        </a:xfrm>
        <a:prstGeom prst="rect">
          <a:avLst/>
        </a:prstGeom>
        <a:noFill/>
        <a:ln w="9525">
          <a:noFill/>
          <a:miter lim="800000"/>
          <a:headEnd/>
          <a:tailEnd/>
        </a:ln>
      </xdr:spPr>
    </xdr:sp>
    <xdr:clientData/>
  </xdr:twoCellAnchor>
  <xdr:twoCellAnchor editAs="oneCell">
    <xdr:from>
      <xdr:col>3</xdr:col>
      <xdr:colOff>1685925</xdr:colOff>
      <xdr:row>12</xdr:row>
      <xdr:rowOff>0</xdr:rowOff>
    </xdr:from>
    <xdr:to>
      <xdr:col>4</xdr:col>
      <xdr:colOff>114300</xdr:colOff>
      <xdr:row>14</xdr:row>
      <xdr:rowOff>33528</xdr:rowOff>
    </xdr:to>
    <xdr:sp macro="" textlink="">
      <xdr:nvSpPr>
        <xdr:cNvPr id="49" name="Text Box 187">
          <a:extLst>
            <a:ext uri="{FF2B5EF4-FFF2-40B4-BE49-F238E27FC236}">
              <a16:creationId xmlns:a16="http://schemas.microsoft.com/office/drawing/2014/main" id="{00000000-0008-0000-0C00-000031000000}"/>
            </a:ext>
          </a:extLst>
        </xdr:cNvPr>
        <xdr:cNvSpPr txBox="1">
          <a:spLocks noChangeArrowheads="1"/>
        </xdr:cNvSpPr>
      </xdr:nvSpPr>
      <xdr:spPr bwMode="auto">
        <a:xfrm>
          <a:off x="3429000" y="485775"/>
          <a:ext cx="114300" cy="1076325"/>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50" name="Text Box 188">
          <a:extLst>
            <a:ext uri="{FF2B5EF4-FFF2-40B4-BE49-F238E27FC236}">
              <a16:creationId xmlns:a16="http://schemas.microsoft.com/office/drawing/2014/main" id="{00000000-0008-0000-0C00-000032000000}"/>
            </a:ext>
          </a:extLst>
        </xdr:cNvPr>
        <xdr:cNvSpPr txBox="1">
          <a:spLocks noChangeArrowheads="1"/>
        </xdr:cNvSpPr>
      </xdr:nvSpPr>
      <xdr:spPr bwMode="auto">
        <a:xfrm>
          <a:off x="3429000" y="485775"/>
          <a:ext cx="123825" cy="1076325"/>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51" name="Text Box 189">
          <a:extLst>
            <a:ext uri="{FF2B5EF4-FFF2-40B4-BE49-F238E27FC236}">
              <a16:creationId xmlns:a16="http://schemas.microsoft.com/office/drawing/2014/main" id="{00000000-0008-0000-0C00-000033000000}"/>
            </a:ext>
          </a:extLst>
        </xdr:cNvPr>
        <xdr:cNvSpPr txBox="1">
          <a:spLocks noChangeArrowheads="1"/>
        </xdr:cNvSpPr>
      </xdr:nvSpPr>
      <xdr:spPr bwMode="auto">
        <a:xfrm>
          <a:off x="3429000" y="485775"/>
          <a:ext cx="123825" cy="1076325"/>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52" name="Text Box 190">
          <a:extLst>
            <a:ext uri="{FF2B5EF4-FFF2-40B4-BE49-F238E27FC236}">
              <a16:creationId xmlns:a16="http://schemas.microsoft.com/office/drawing/2014/main" id="{00000000-0008-0000-0C00-000034000000}"/>
            </a:ext>
          </a:extLst>
        </xdr:cNvPr>
        <xdr:cNvSpPr txBox="1">
          <a:spLocks noChangeArrowheads="1"/>
        </xdr:cNvSpPr>
      </xdr:nvSpPr>
      <xdr:spPr bwMode="auto">
        <a:xfrm>
          <a:off x="3429000" y="485775"/>
          <a:ext cx="123825" cy="1076325"/>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53" name="Text Box 191">
          <a:extLst>
            <a:ext uri="{FF2B5EF4-FFF2-40B4-BE49-F238E27FC236}">
              <a16:creationId xmlns:a16="http://schemas.microsoft.com/office/drawing/2014/main" id="{00000000-0008-0000-0C00-000035000000}"/>
            </a:ext>
          </a:extLst>
        </xdr:cNvPr>
        <xdr:cNvSpPr txBox="1">
          <a:spLocks noChangeArrowheads="1"/>
        </xdr:cNvSpPr>
      </xdr:nvSpPr>
      <xdr:spPr bwMode="auto">
        <a:xfrm>
          <a:off x="3429000" y="485775"/>
          <a:ext cx="123825" cy="1076325"/>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4" name="Text Box 192">
          <a:extLst>
            <a:ext uri="{FF2B5EF4-FFF2-40B4-BE49-F238E27FC236}">
              <a16:creationId xmlns:a16="http://schemas.microsoft.com/office/drawing/2014/main" id="{00000000-0008-0000-0C00-000036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5" name="Text Box 193">
          <a:extLst>
            <a:ext uri="{FF2B5EF4-FFF2-40B4-BE49-F238E27FC236}">
              <a16:creationId xmlns:a16="http://schemas.microsoft.com/office/drawing/2014/main" id="{00000000-0008-0000-0C00-000037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6" name="Text Box 194">
          <a:extLst>
            <a:ext uri="{FF2B5EF4-FFF2-40B4-BE49-F238E27FC236}">
              <a16:creationId xmlns:a16="http://schemas.microsoft.com/office/drawing/2014/main" id="{00000000-0008-0000-0C00-000038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7" name="Text Box 195">
          <a:extLst>
            <a:ext uri="{FF2B5EF4-FFF2-40B4-BE49-F238E27FC236}">
              <a16:creationId xmlns:a16="http://schemas.microsoft.com/office/drawing/2014/main" id="{00000000-0008-0000-0C00-000039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8" name="Text Box 196">
          <a:extLst>
            <a:ext uri="{FF2B5EF4-FFF2-40B4-BE49-F238E27FC236}">
              <a16:creationId xmlns:a16="http://schemas.microsoft.com/office/drawing/2014/main" id="{00000000-0008-0000-0C00-00003A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59" name="Text Box 197">
          <a:extLst>
            <a:ext uri="{FF2B5EF4-FFF2-40B4-BE49-F238E27FC236}">
              <a16:creationId xmlns:a16="http://schemas.microsoft.com/office/drawing/2014/main" id="{00000000-0008-0000-0C00-00003B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60" name="Text Box 198">
          <a:extLst>
            <a:ext uri="{FF2B5EF4-FFF2-40B4-BE49-F238E27FC236}">
              <a16:creationId xmlns:a16="http://schemas.microsoft.com/office/drawing/2014/main" id="{00000000-0008-0000-0C00-00003C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61" name="Text Box 199">
          <a:extLst>
            <a:ext uri="{FF2B5EF4-FFF2-40B4-BE49-F238E27FC236}">
              <a16:creationId xmlns:a16="http://schemas.microsoft.com/office/drawing/2014/main" id="{00000000-0008-0000-0C00-00003D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62" name="Text Box 200">
          <a:extLst>
            <a:ext uri="{FF2B5EF4-FFF2-40B4-BE49-F238E27FC236}">
              <a16:creationId xmlns:a16="http://schemas.microsoft.com/office/drawing/2014/main" id="{00000000-0008-0000-0C00-00003E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63" name="Text Box 201">
          <a:extLst>
            <a:ext uri="{FF2B5EF4-FFF2-40B4-BE49-F238E27FC236}">
              <a16:creationId xmlns:a16="http://schemas.microsoft.com/office/drawing/2014/main" id="{00000000-0008-0000-0C00-00003F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64" name="Text Box 202">
          <a:extLst>
            <a:ext uri="{FF2B5EF4-FFF2-40B4-BE49-F238E27FC236}">
              <a16:creationId xmlns:a16="http://schemas.microsoft.com/office/drawing/2014/main" id="{00000000-0008-0000-0C00-000040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65" name="Text Box 203">
          <a:extLst>
            <a:ext uri="{FF2B5EF4-FFF2-40B4-BE49-F238E27FC236}">
              <a16:creationId xmlns:a16="http://schemas.microsoft.com/office/drawing/2014/main" id="{00000000-0008-0000-0C00-000041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66" name="Text Box 204">
          <a:extLst>
            <a:ext uri="{FF2B5EF4-FFF2-40B4-BE49-F238E27FC236}">
              <a16:creationId xmlns:a16="http://schemas.microsoft.com/office/drawing/2014/main" id="{00000000-0008-0000-0C00-000042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1685925</xdr:colOff>
      <xdr:row>13</xdr:row>
      <xdr:rowOff>0</xdr:rowOff>
    </xdr:from>
    <xdr:to>
      <xdr:col>4</xdr:col>
      <xdr:colOff>114300</xdr:colOff>
      <xdr:row>14</xdr:row>
      <xdr:rowOff>34290</xdr:rowOff>
    </xdr:to>
    <xdr:sp macro="" textlink="">
      <xdr:nvSpPr>
        <xdr:cNvPr id="67" name="Text Box 205">
          <a:extLst>
            <a:ext uri="{FF2B5EF4-FFF2-40B4-BE49-F238E27FC236}">
              <a16:creationId xmlns:a16="http://schemas.microsoft.com/office/drawing/2014/main" id="{00000000-0008-0000-0C00-000043000000}"/>
            </a:ext>
          </a:extLst>
        </xdr:cNvPr>
        <xdr:cNvSpPr txBox="1">
          <a:spLocks noChangeArrowheads="1"/>
        </xdr:cNvSpPr>
      </xdr:nvSpPr>
      <xdr:spPr bwMode="auto">
        <a:xfrm>
          <a:off x="3429000" y="485775"/>
          <a:ext cx="114300" cy="1095375"/>
        </a:xfrm>
        <a:prstGeom prst="rect">
          <a:avLst/>
        </a:prstGeom>
        <a:noFill/>
        <a:ln w="9525">
          <a:noFill/>
          <a:miter lim="800000"/>
          <a:headEnd/>
          <a:tailEnd/>
        </a:ln>
      </xdr:spPr>
    </xdr:sp>
    <xdr:clientData/>
  </xdr:twoCellAnchor>
  <xdr:twoCellAnchor editAs="oneCell">
    <xdr:from>
      <xdr:col>3</xdr:col>
      <xdr:colOff>1685925</xdr:colOff>
      <xdr:row>13</xdr:row>
      <xdr:rowOff>0</xdr:rowOff>
    </xdr:from>
    <xdr:to>
      <xdr:col>4</xdr:col>
      <xdr:colOff>114300</xdr:colOff>
      <xdr:row>14</xdr:row>
      <xdr:rowOff>34290</xdr:rowOff>
    </xdr:to>
    <xdr:sp macro="" textlink="">
      <xdr:nvSpPr>
        <xdr:cNvPr id="68" name="Text Box 206">
          <a:extLst>
            <a:ext uri="{FF2B5EF4-FFF2-40B4-BE49-F238E27FC236}">
              <a16:creationId xmlns:a16="http://schemas.microsoft.com/office/drawing/2014/main" id="{00000000-0008-0000-0C00-000044000000}"/>
            </a:ext>
          </a:extLst>
        </xdr:cNvPr>
        <xdr:cNvSpPr txBox="1">
          <a:spLocks noChangeArrowheads="1"/>
        </xdr:cNvSpPr>
      </xdr:nvSpPr>
      <xdr:spPr bwMode="auto">
        <a:xfrm>
          <a:off x="3429000" y="485775"/>
          <a:ext cx="114300" cy="1095375"/>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69" name="Text Box 207">
          <a:extLst>
            <a:ext uri="{FF2B5EF4-FFF2-40B4-BE49-F238E27FC236}">
              <a16:creationId xmlns:a16="http://schemas.microsoft.com/office/drawing/2014/main" id="{00000000-0008-0000-0C00-000045000000}"/>
            </a:ext>
          </a:extLst>
        </xdr:cNvPr>
        <xdr:cNvSpPr txBox="1">
          <a:spLocks noChangeArrowheads="1"/>
        </xdr:cNvSpPr>
      </xdr:nvSpPr>
      <xdr:spPr bwMode="auto">
        <a:xfrm>
          <a:off x="3429000" y="485775"/>
          <a:ext cx="123825" cy="1095375"/>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70" name="Text Box 208">
          <a:extLst>
            <a:ext uri="{FF2B5EF4-FFF2-40B4-BE49-F238E27FC236}">
              <a16:creationId xmlns:a16="http://schemas.microsoft.com/office/drawing/2014/main" id="{00000000-0008-0000-0C00-000046000000}"/>
            </a:ext>
          </a:extLst>
        </xdr:cNvPr>
        <xdr:cNvSpPr txBox="1">
          <a:spLocks noChangeArrowheads="1"/>
        </xdr:cNvSpPr>
      </xdr:nvSpPr>
      <xdr:spPr bwMode="auto">
        <a:xfrm>
          <a:off x="3429000" y="485775"/>
          <a:ext cx="123825" cy="1095375"/>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71" name="Text Box 209">
          <a:extLst>
            <a:ext uri="{FF2B5EF4-FFF2-40B4-BE49-F238E27FC236}">
              <a16:creationId xmlns:a16="http://schemas.microsoft.com/office/drawing/2014/main" id="{00000000-0008-0000-0C00-000047000000}"/>
            </a:ext>
          </a:extLst>
        </xdr:cNvPr>
        <xdr:cNvSpPr txBox="1">
          <a:spLocks noChangeArrowheads="1"/>
        </xdr:cNvSpPr>
      </xdr:nvSpPr>
      <xdr:spPr bwMode="auto">
        <a:xfrm>
          <a:off x="3429000" y="485775"/>
          <a:ext cx="123825" cy="1095375"/>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72" name="Text Box 210">
          <a:extLst>
            <a:ext uri="{FF2B5EF4-FFF2-40B4-BE49-F238E27FC236}">
              <a16:creationId xmlns:a16="http://schemas.microsoft.com/office/drawing/2014/main" id="{00000000-0008-0000-0C00-000048000000}"/>
            </a:ext>
          </a:extLst>
        </xdr:cNvPr>
        <xdr:cNvSpPr txBox="1">
          <a:spLocks noChangeArrowheads="1"/>
        </xdr:cNvSpPr>
      </xdr:nvSpPr>
      <xdr:spPr bwMode="auto">
        <a:xfrm>
          <a:off x="3429000" y="485775"/>
          <a:ext cx="123825" cy="1095375"/>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73" name="Text Box 211">
          <a:extLst>
            <a:ext uri="{FF2B5EF4-FFF2-40B4-BE49-F238E27FC236}">
              <a16:creationId xmlns:a16="http://schemas.microsoft.com/office/drawing/2014/main" id="{00000000-0008-0000-0C00-000049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74" name="Text Box 212">
          <a:extLst>
            <a:ext uri="{FF2B5EF4-FFF2-40B4-BE49-F238E27FC236}">
              <a16:creationId xmlns:a16="http://schemas.microsoft.com/office/drawing/2014/main" id="{00000000-0008-0000-0C00-00004A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75" name="Text Box 213">
          <a:extLst>
            <a:ext uri="{FF2B5EF4-FFF2-40B4-BE49-F238E27FC236}">
              <a16:creationId xmlns:a16="http://schemas.microsoft.com/office/drawing/2014/main" id="{00000000-0008-0000-0C00-00004B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76" name="Text Box 214">
          <a:extLst>
            <a:ext uri="{FF2B5EF4-FFF2-40B4-BE49-F238E27FC236}">
              <a16:creationId xmlns:a16="http://schemas.microsoft.com/office/drawing/2014/main" id="{00000000-0008-0000-0C00-00004C000000}"/>
            </a:ext>
          </a:extLst>
        </xdr:cNvPr>
        <xdr:cNvSpPr txBox="1">
          <a:spLocks noChangeArrowheads="1"/>
        </xdr:cNvSpPr>
      </xdr:nvSpPr>
      <xdr:spPr bwMode="auto">
        <a:xfrm>
          <a:off x="3429000" y="485775"/>
          <a:ext cx="123825" cy="93345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77" name="Text Box 216">
          <a:extLst>
            <a:ext uri="{FF2B5EF4-FFF2-40B4-BE49-F238E27FC236}">
              <a16:creationId xmlns:a16="http://schemas.microsoft.com/office/drawing/2014/main" id="{00000000-0008-0000-0C00-00004D000000}"/>
            </a:ext>
          </a:extLst>
        </xdr:cNvPr>
        <xdr:cNvSpPr txBox="1">
          <a:spLocks noChangeArrowheads="1"/>
        </xdr:cNvSpPr>
      </xdr:nvSpPr>
      <xdr:spPr bwMode="auto">
        <a:xfrm>
          <a:off x="3429000" y="485775"/>
          <a:ext cx="123825" cy="95250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78" name="Text Box 217">
          <a:extLst>
            <a:ext uri="{FF2B5EF4-FFF2-40B4-BE49-F238E27FC236}">
              <a16:creationId xmlns:a16="http://schemas.microsoft.com/office/drawing/2014/main" id="{00000000-0008-0000-0C00-00004E000000}"/>
            </a:ext>
          </a:extLst>
        </xdr:cNvPr>
        <xdr:cNvSpPr txBox="1">
          <a:spLocks noChangeArrowheads="1"/>
        </xdr:cNvSpPr>
      </xdr:nvSpPr>
      <xdr:spPr bwMode="auto">
        <a:xfrm>
          <a:off x="3429000" y="485775"/>
          <a:ext cx="123825" cy="95250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79" name="Text Box 218">
          <a:extLst>
            <a:ext uri="{FF2B5EF4-FFF2-40B4-BE49-F238E27FC236}">
              <a16:creationId xmlns:a16="http://schemas.microsoft.com/office/drawing/2014/main" id="{00000000-0008-0000-0C00-00004F000000}"/>
            </a:ext>
          </a:extLst>
        </xdr:cNvPr>
        <xdr:cNvSpPr txBox="1">
          <a:spLocks noChangeArrowheads="1"/>
        </xdr:cNvSpPr>
      </xdr:nvSpPr>
      <xdr:spPr bwMode="auto">
        <a:xfrm>
          <a:off x="3429000" y="485775"/>
          <a:ext cx="123825" cy="95250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80" name="Text Box 219">
          <a:extLst>
            <a:ext uri="{FF2B5EF4-FFF2-40B4-BE49-F238E27FC236}">
              <a16:creationId xmlns:a16="http://schemas.microsoft.com/office/drawing/2014/main" id="{00000000-0008-0000-0C00-000050000000}"/>
            </a:ext>
          </a:extLst>
        </xdr:cNvPr>
        <xdr:cNvSpPr txBox="1">
          <a:spLocks noChangeArrowheads="1"/>
        </xdr:cNvSpPr>
      </xdr:nvSpPr>
      <xdr:spPr bwMode="auto">
        <a:xfrm>
          <a:off x="3429000" y="485775"/>
          <a:ext cx="123825" cy="95250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81" name="Text Box 220">
          <a:extLst>
            <a:ext uri="{FF2B5EF4-FFF2-40B4-BE49-F238E27FC236}">
              <a16:creationId xmlns:a16="http://schemas.microsoft.com/office/drawing/2014/main" id="{00000000-0008-0000-0C00-000051000000}"/>
            </a:ext>
          </a:extLst>
        </xdr:cNvPr>
        <xdr:cNvSpPr txBox="1">
          <a:spLocks noChangeArrowheads="1"/>
        </xdr:cNvSpPr>
      </xdr:nvSpPr>
      <xdr:spPr bwMode="auto">
        <a:xfrm>
          <a:off x="3429000" y="485775"/>
          <a:ext cx="123825" cy="95250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82" name="Text Box 221">
          <a:extLst>
            <a:ext uri="{FF2B5EF4-FFF2-40B4-BE49-F238E27FC236}">
              <a16:creationId xmlns:a16="http://schemas.microsoft.com/office/drawing/2014/main" id="{00000000-0008-0000-0C00-000052000000}"/>
            </a:ext>
          </a:extLst>
        </xdr:cNvPr>
        <xdr:cNvSpPr txBox="1">
          <a:spLocks noChangeArrowheads="1"/>
        </xdr:cNvSpPr>
      </xdr:nvSpPr>
      <xdr:spPr bwMode="auto">
        <a:xfrm>
          <a:off x="3429000" y="485775"/>
          <a:ext cx="123825" cy="95250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83" name="Text Box 222">
          <a:extLst>
            <a:ext uri="{FF2B5EF4-FFF2-40B4-BE49-F238E27FC236}">
              <a16:creationId xmlns:a16="http://schemas.microsoft.com/office/drawing/2014/main" id="{00000000-0008-0000-0C00-000053000000}"/>
            </a:ext>
          </a:extLst>
        </xdr:cNvPr>
        <xdr:cNvSpPr txBox="1">
          <a:spLocks noChangeArrowheads="1"/>
        </xdr:cNvSpPr>
      </xdr:nvSpPr>
      <xdr:spPr bwMode="auto">
        <a:xfrm>
          <a:off x="3429000" y="485775"/>
          <a:ext cx="123825" cy="95250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84" name="Text Box 223">
          <a:extLst>
            <a:ext uri="{FF2B5EF4-FFF2-40B4-BE49-F238E27FC236}">
              <a16:creationId xmlns:a16="http://schemas.microsoft.com/office/drawing/2014/main" id="{00000000-0008-0000-0C00-000054000000}"/>
            </a:ext>
          </a:extLst>
        </xdr:cNvPr>
        <xdr:cNvSpPr txBox="1">
          <a:spLocks noChangeArrowheads="1"/>
        </xdr:cNvSpPr>
      </xdr:nvSpPr>
      <xdr:spPr bwMode="auto">
        <a:xfrm>
          <a:off x="3429000" y="485775"/>
          <a:ext cx="123825" cy="952500"/>
        </a:xfrm>
        <a:prstGeom prst="rect">
          <a:avLst/>
        </a:prstGeom>
        <a:noFill/>
        <a:ln w="9525">
          <a:noFill/>
          <a:miter lim="800000"/>
          <a:headEnd/>
          <a:tailEnd/>
        </a:ln>
      </xdr:spPr>
    </xdr:sp>
    <xdr:clientData/>
  </xdr:twoCellAnchor>
  <xdr:twoCellAnchor editAs="oneCell">
    <xdr:from>
      <xdr:col>3</xdr:col>
      <xdr:colOff>1685925</xdr:colOff>
      <xdr:row>14</xdr:row>
      <xdr:rowOff>0</xdr:rowOff>
    </xdr:from>
    <xdr:to>
      <xdr:col>4</xdr:col>
      <xdr:colOff>114300</xdr:colOff>
      <xdr:row>14</xdr:row>
      <xdr:rowOff>34290</xdr:rowOff>
    </xdr:to>
    <xdr:sp macro="" textlink="">
      <xdr:nvSpPr>
        <xdr:cNvPr id="85" name="Text Box 224">
          <a:extLst>
            <a:ext uri="{FF2B5EF4-FFF2-40B4-BE49-F238E27FC236}">
              <a16:creationId xmlns:a16="http://schemas.microsoft.com/office/drawing/2014/main" id="{00000000-0008-0000-0C00-000055000000}"/>
            </a:ext>
          </a:extLst>
        </xdr:cNvPr>
        <xdr:cNvSpPr txBox="1">
          <a:spLocks noChangeArrowheads="1"/>
        </xdr:cNvSpPr>
      </xdr:nvSpPr>
      <xdr:spPr bwMode="auto">
        <a:xfrm>
          <a:off x="3429000" y="485775"/>
          <a:ext cx="114300" cy="1095375"/>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86" name="Text Box 226">
          <a:extLst>
            <a:ext uri="{FF2B5EF4-FFF2-40B4-BE49-F238E27FC236}">
              <a16:creationId xmlns:a16="http://schemas.microsoft.com/office/drawing/2014/main" id="{00000000-0008-0000-0C00-000056000000}"/>
            </a:ext>
          </a:extLst>
        </xdr:cNvPr>
        <xdr:cNvSpPr txBox="1">
          <a:spLocks noChangeArrowheads="1"/>
        </xdr:cNvSpPr>
      </xdr:nvSpPr>
      <xdr:spPr bwMode="auto">
        <a:xfrm>
          <a:off x="3429000" y="485775"/>
          <a:ext cx="123825" cy="1095375"/>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87" name="Text Box 227">
          <a:extLst>
            <a:ext uri="{FF2B5EF4-FFF2-40B4-BE49-F238E27FC236}">
              <a16:creationId xmlns:a16="http://schemas.microsoft.com/office/drawing/2014/main" id="{00000000-0008-0000-0C00-000057000000}"/>
            </a:ext>
          </a:extLst>
        </xdr:cNvPr>
        <xdr:cNvSpPr txBox="1">
          <a:spLocks noChangeArrowheads="1"/>
        </xdr:cNvSpPr>
      </xdr:nvSpPr>
      <xdr:spPr bwMode="auto">
        <a:xfrm>
          <a:off x="3429000" y="485775"/>
          <a:ext cx="123825" cy="1095375"/>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88" name="Text Box 228">
          <a:extLst>
            <a:ext uri="{FF2B5EF4-FFF2-40B4-BE49-F238E27FC236}">
              <a16:creationId xmlns:a16="http://schemas.microsoft.com/office/drawing/2014/main" id="{00000000-0008-0000-0C00-000058000000}"/>
            </a:ext>
          </a:extLst>
        </xdr:cNvPr>
        <xdr:cNvSpPr txBox="1">
          <a:spLocks noChangeArrowheads="1"/>
        </xdr:cNvSpPr>
      </xdr:nvSpPr>
      <xdr:spPr bwMode="auto">
        <a:xfrm>
          <a:off x="3429000" y="485775"/>
          <a:ext cx="123825" cy="1095375"/>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89" name="Text Box 229">
          <a:extLst>
            <a:ext uri="{FF2B5EF4-FFF2-40B4-BE49-F238E27FC236}">
              <a16:creationId xmlns:a16="http://schemas.microsoft.com/office/drawing/2014/main" id="{00000000-0008-0000-0C00-000059000000}"/>
            </a:ext>
          </a:extLst>
        </xdr:cNvPr>
        <xdr:cNvSpPr txBox="1">
          <a:spLocks noChangeArrowheads="1"/>
        </xdr:cNvSpPr>
      </xdr:nvSpPr>
      <xdr:spPr bwMode="auto">
        <a:xfrm>
          <a:off x="3429000" y="485775"/>
          <a:ext cx="123825" cy="1095375"/>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90" name="Text Box 230">
          <a:extLst>
            <a:ext uri="{FF2B5EF4-FFF2-40B4-BE49-F238E27FC236}">
              <a16:creationId xmlns:a16="http://schemas.microsoft.com/office/drawing/2014/main" id="{00000000-0008-0000-0C00-00005A000000}"/>
            </a:ext>
          </a:extLst>
        </xdr:cNvPr>
        <xdr:cNvSpPr txBox="1">
          <a:spLocks noChangeArrowheads="1"/>
        </xdr:cNvSpPr>
      </xdr:nvSpPr>
      <xdr:spPr bwMode="auto">
        <a:xfrm>
          <a:off x="3429000" y="485775"/>
          <a:ext cx="123825" cy="95250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91" name="Text Box 231">
          <a:extLst>
            <a:ext uri="{FF2B5EF4-FFF2-40B4-BE49-F238E27FC236}">
              <a16:creationId xmlns:a16="http://schemas.microsoft.com/office/drawing/2014/main" id="{00000000-0008-0000-0C00-00005B000000}"/>
            </a:ext>
          </a:extLst>
        </xdr:cNvPr>
        <xdr:cNvSpPr txBox="1">
          <a:spLocks noChangeArrowheads="1"/>
        </xdr:cNvSpPr>
      </xdr:nvSpPr>
      <xdr:spPr bwMode="auto">
        <a:xfrm>
          <a:off x="3429000" y="485775"/>
          <a:ext cx="123825" cy="95250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92" name="Text Box 232">
          <a:extLst>
            <a:ext uri="{FF2B5EF4-FFF2-40B4-BE49-F238E27FC236}">
              <a16:creationId xmlns:a16="http://schemas.microsoft.com/office/drawing/2014/main" id="{00000000-0008-0000-0C00-00005C000000}"/>
            </a:ext>
          </a:extLst>
        </xdr:cNvPr>
        <xdr:cNvSpPr txBox="1">
          <a:spLocks noChangeArrowheads="1"/>
        </xdr:cNvSpPr>
      </xdr:nvSpPr>
      <xdr:spPr bwMode="auto">
        <a:xfrm>
          <a:off x="3429000" y="485775"/>
          <a:ext cx="123825" cy="95250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93" name="Text Box 233">
          <a:extLst>
            <a:ext uri="{FF2B5EF4-FFF2-40B4-BE49-F238E27FC236}">
              <a16:creationId xmlns:a16="http://schemas.microsoft.com/office/drawing/2014/main" id="{00000000-0008-0000-0C00-00005D000000}"/>
            </a:ext>
          </a:extLst>
        </xdr:cNvPr>
        <xdr:cNvSpPr txBox="1">
          <a:spLocks noChangeArrowheads="1"/>
        </xdr:cNvSpPr>
      </xdr:nvSpPr>
      <xdr:spPr bwMode="auto">
        <a:xfrm>
          <a:off x="3429000" y="485775"/>
          <a:ext cx="123825" cy="95250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94" name="Text Box 234">
          <a:extLst>
            <a:ext uri="{FF2B5EF4-FFF2-40B4-BE49-F238E27FC236}">
              <a16:creationId xmlns:a16="http://schemas.microsoft.com/office/drawing/2014/main" id="{00000000-0008-0000-0C00-00005E000000}"/>
            </a:ext>
          </a:extLst>
        </xdr:cNvPr>
        <xdr:cNvSpPr txBox="1">
          <a:spLocks noChangeArrowheads="1"/>
        </xdr:cNvSpPr>
      </xdr:nvSpPr>
      <xdr:spPr bwMode="auto">
        <a:xfrm>
          <a:off x="3429000" y="485775"/>
          <a:ext cx="123825" cy="952500"/>
        </a:xfrm>
        <a:prstGeom prst="rect">
          <a:avLst/>
        </a:prstGeom>
        <a:noFill/>
        <a:ln w="9525">
          <a:noFill/>
          <a:miter lim="800000"/>
          <a:headEnd/>
          <a:tailEnd/>
        </a:ln>
      </xdr:spPr>
    </xdr:sp>
    <xdr:clientData/>
  </xdr:twoCellAnchor>
  <xdr:twoCellAnchor>
    <xdr:from>
      <xdr:col>0</xdr:col>
      <xdr:colOff>0</xdr:colOff>
      <xdr:row>3</xdr:row>
      <xdr:rowOff>0</xdr:rowOff>
    </xdr:from>
    <xdr:to>
      <xdr:col>0</xdr:col>
      <xdr:colOff>638175</xdr:colOff>
      <xdr:row>3</xdr:row>
      <xdr:rowOff>0</xdr:rowOff>
    </xdr:to>
    <xdr:sp macro="" textlink="">
      <xdr:nvSpPr>
        <xdr:cNvPr id="95" name="Line 1">
          <a:extLst>
            <a:ext uri="{FF2B5EF4-FFF2-40B4-BE49-F238E27FC236}">
              <a16:creationId xmlns:a16="http://schemas.microsoft.com/office/drawing/2014/main" id="{00000000-0008-0000-0C00-00005F000000}"/>
            </a:ext>
          </a:extLst>
        </xdr:cNvPr>
        <xdr:cNvSpPr>
          <a:spLocks noChangeShapeType="1"/>
        </xdr:cNvSpPr>
      </xdr:nvSpPr>
      <xdr:spPr bwMode="auto">
        <a:xfrm>
          <a:off x="0" y="485775"/>
          <a:ext cx="638175" cy="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0</xdr:col>
      <xdr:colOff>638175</xdr:colOff>
      <xdr:row>3</xdr:row>
      <xdr:rowOff>0</xdr:rowOff>
    </xdr:to>
    <xdr:sp macro="" textlink="">
      <xdr:nvSpPr>
        <xdr:cNvPr id="96" name="Line 2">
          <a:extLst>
            <a:ext uri="{FF2B5EF4-FFF2-40B4-BE49-F238E27FC236}">
              <a16:creationId xmlns:a16="http://schemas.microsoft.com/office/drawing/2014/main" id="{00000000-0008-0000-0C00-000060000000}"/>
            </a:ext>
          </a:extLst>
        </xdr:cNvPr>
        <xdr:cNvSpPr>
          <a:spLocks noChangeShapeType="1"/>
        </xdr:cNvSpPr>
      </xdr:nvSpPr>
      <xdr:spPr bwMode="auto">
        <a:xfrm>
          <a:off x="0" y="485775"/>
          <a:ext cx="638175" cy="0"/>
        </a:xfrm>
        <a:prstGeom prst="line">
          <a:avLst/>
        </a:prstGeom>
        <a:noFill/>
        <a:ln w="9525">
          <a:solidFill>
            <a:srgbClr val="000000"/>
          </a:solidFill>
          <a:round/>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97" name="Text Box 134">
          <a:extLst>
            <a:ext uri="{FF2B5EF4-FFF2-40B4-BE49-F238E27FC236}">
              <a16:creationId xmlns:a16="http://schemas.microsoft.com/office/drawing/2014/main" id="{00000000-0008-0000-0C00-000061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98" name="Text Box 135">
          <a:extLst>
            <a:ext uri="{FF2B5EF4-FFF2-40B4-BE49-F238E27FC236}">
              <a16:creationId xmlns:a16="http://schemas.microsoft.com/office/drawing/2014/main" id="{00000000-0008-0000-0C00-000062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99" name="Text Box 142">
          <a:extLst>
            <a:ext uri="{FF2B5EF4-FFF2-40B4-BE49-F238E27FC236}">
              <a16:creationId xmlns:a16="http://schemas.microsoft.com/office/drawing/2014/main" id="{00000000-0008-0000-0C00-000063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00" name="Text Box 143">
          <a:extLst>
            <a:ext uri="{FF2B5EF4-FFF2-40B4-BE49-F238E27FC236}">
              <a16:creationId xmlns:a16="http://schemas.microsoft.com/office/drawing/2014/main" id="{00000000-0008-0000-0C00-000064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01" name="Text Box 144">
          <a:extLst>
            <a:ext uri="{FF2B5EF4-FFF2-40B4-BE49-F238E27FC236}">
              <a16:creationId xmlns:a16="http://schemas.microsoft.com/office/drawing/2014/main" id="{00000000-0008-0000-0C00-000065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02" name="Text Box 145">
          <a:extLst>
            <a:ext uri="{FF2B5EF4-FFF2-40B4-BE49-F238E27FC236}">
              <a16:creationId xmlns:a16="http://schemas.microsoft.com/office/drawing/2014/main" id="{00000000-0008-0000-0C00-000066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03" name="Text Box 146">
          <a:extLst>
            <a:ext uri="{FF2B5EF4-FFF2-40B4-BE49-F238E27FC236}">
              <a16:creationId xmlns:a16="http://schemas.microsoft.com/office/drawing/2014/main" id="{00000000-0008-0000-0C00-000067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04" name="Text Box 147">
          <a:extLst>
            <a:ext uri="{FF2B5EF4-FFF2-40B4-BE49-F238E27FC236}">
              <a16:creationId xmlns:a16="http://schemas.microsoft.com/office/drawing/2014/main" id="{00000000-0008-0000-0C00-000068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1685925</xdr:colOff>
      <xdr:row>12</xdr:row>
      <xdr:rowOff>0</xdr:rowOff>
    </xdr:from>
    <xdr:to>
      <xdr:col>2</xdr:col>
      <xdr:colOff>114300</xdr:colOff>
      <xdr:row>14</xdr:row>
      <xdr:rowOff>33528</xdr:rowOff>
    </xdr:to>
    <xdr:sp macro="" textlink="">
      <xdr:nvSpPr>
        <xdr:cNvPr id="105" name="Text Box 136">
          <a:extLst>
            <a:ext uri="{FF2B5EF4-FFF2-40B4-BE49-F238E27FC236}">
              <a16:creationId xmlns:a16="http://schemas.microsoft.com/office/drawing/2014/main" id="{00000000-0008-0000-0C00-000069000000}"/>
            </a:ext>
          </a:extLst>
        </xdr:cNvPr>
        <xdr:cNvSpPr txBox="1">
          <a:spLocks noChangeArrowheads="1"/>
        </xdr:cNvSpPr>
      </xdr:nvSpPr>
      <xdr:spPr bwMode="auto">
        <a:xfrm>
          <a:off x="2400300" y="485775"/>
          <a:ext cx="114300" cy="33528"/>
        </a:xfrm>
        <a:prstGeom prst="rect">
          <a:avLst/>
        </a:prstGeom>
        <a:noFill/>
        <a:ln w="9525">
          <a:noFill/>
          <a:miter lim="800000"/>
          <a:headEnd/>
          <a:tailEnd/>
        </a:ln>
      </xdr:spPr>
    </xdr:sp>
    <xdr:clientData/>
  </xdr:twoCellAnchor>
  <xdr:twoCellAnchor editAs="oneCell">
    <xdr:from>
      <xdr:col>1</xdr:col>
      <xdr:colOff>1685925</xdr:colOff>
      <xdr:row>12</xdr:row>
      <xdr:rowOff>0</xdr:rowOff>
    </xdr:from>
    <xdr:to>
      <xdr:col>2</xdr:col>
      <xdr:colOff>114300</xdr:colOff>
      <xdr:row>14</xdr:row>
      <xdr:rowOff>33528</xdr:rowOff>
    </xdr:to>
    <xdr:sp macro="" textlink="">
      <xdr:nvSpPr>
        <xdr:cNvPr id="106" name="Text Box 137">
          <a:extLst>
            <a:ext uri="{FF2B5EF4-FFF2-40B4-BE49-F238E27FC236}">
              <a16:creationId xmlns:a16="http://schemas.microsoft.com/office/drawing/2014/main" id="{00000000-0008-0000-0C00-00006A000000}"/>
            </a:ext>
          </a:extLst>
        </xdr:cNvPr>
        <xdr:cNvSpPr txBox="1">
          <a:spLocks noChangeArrowheads="1"/>
        </xdr:cNvSpPr>
      </xdr:nvSpPr>
      <xdr:spPr bwMode="auto">
        <a:xfrm>
          <a:off x="2400300" y="485775"/>
          <a:ext cx="114300"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107" name="Text Box 150">
          <a:extLst>
            <a:ext uri="{FF2B5EF4-FFF2-40B4-BE49-F238E27FC236}">
              <a16:creationId xmlns:a16="http://schemas.microsoft.com/office/drawing/2014/main" id="{00000000-0008-0000-0C00-00006B00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108" name="Text Box 151">
          <a:extLst>
            <a:ext uri="{FF2B5EF4-FFF2-40B4-BE49-F238E27FC236}">
              <a16:creationId xmlns:a16="http://schemas.microsoft.com/office/drawing/2014/main" id="{00000000-0008-0000-0C00-00006C00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109" name="Text Box 152">
          <a:extLst>
            <a:ext uri="{FF2B5EF4-FFF2-40B4-BE49-F238E27FC236}">
              <a16:creationId xmlns:a16="http://schemas.microsoft.com/office/drawing/2014/main" id="{00000000-0008-0000-0C00-00006D00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110" name="Text Box 153">
          <a:extLst>
            <a:ext uri="{FF2B5EF4-FFF2-40B4-BE49-F238E27FC236}">
              <a16:creationId xmlns:a16="http://schemas.microsoft.com/office/drawing/2014/main" id="{00000000-0008-0000-0C00-00006E00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11" name="Text Box 154">
          <a:extLst>
            <a:ext uri="{FF2B5EF4-FFF2-40B4-BE49-F238E27FC236}">
              <a16:creationId xmlns:a16="http://schemas.microsoft.com/office/drawing/2014/main" id="{00000000-0008-0000-0C00-00006F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12" name="Text Box 155">
          <a:extLst>
            <a:ext uri="{FF2B5EF4-FFF2-40B4-BE49-F238E27FC236}">
              <a16:creationId xmlns:a16="http://schemas.microsoft.com/office/drawing/2014/main" id="{00000000-0008-0000-0C00-000070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13" name="Text Box 156">
          <a:extLst>
            <a:ext uri="{FF2B5EF4-FFF2-40B4-BE49-F238E27FC236}">
              <a16:creationId xmlns:a16="http://schemas.microsoft.com/office/drawing/2014/main" id="{00000000-0008-0000-0C00-000071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14" name="Text Box 157">
          <a:extLst>
            <a:ext uri="{FF2B5EF4-FFF2-40B4-BE49-F238E27FC236}">
              <a16:creationId xmlns:a16="http://schemas.microsoft.com/office/drawing/2014/main" id="{00000000-0008-0000-0C00-000072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115" name="Text Box 159">
          <a:extLst>
            <a:ext uri="{FF2B5EF4-FFF2-40B4-BE49-F238E27FC236}">
              <a16:creationId xmlns:a16="http://schemas.microsoft.com/office/drawing/2014/main" id="{00000000-0008-0000-0C00-000073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116" name="Text Box 160">
          <a:extLst>
            <a:ext uri="{FF2B5EF4-FFF2-40B4-BE49-F238E27FC236}">
              <a16:creationId xmlns:a16="http://schemas.microsoft.com/office/drawing/2014/main" id="{00000000-0008-0000-0C00-000074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117" name="Text Box 161">
          <a:extLst>
            <a:ext uri="{FF2B5EF4-FFF2-40B4-BE49-F238E27FC236}">
              <a16:creationId xmlns:a16="http://schemas.microsoft.com/office/drawing/2014/main" id="{00000000-0008-0000-0C00-000075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118" name="Text Box 162">
          <a:extLst>
            <a:ext uri="{FF2B5EF4-FFF2-40B4-BE49-F238E27FC236}">
              <a16:creationId xmlns:a16="http://schemas.microsoft.com/office/drawing/2014/main" id="{00000000-0008-0000-0C00-000076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119" name="Text Box 163">
          <a:extLst>
            <a:ext uri="{FF2B5EF4-FFF2-40B4-BE49-F238E27FC236}">
              <a16:creationId xmlns:a16="http://schemas.microsoft.com/office/drawing/2014/main" id="{00000000-0008-0000-0C00-000077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120" name="Text Box 164">
          <a:extLst>
            <a:ext uri="{FF2B5EF4-FFF2-40B4-BE49-F238E27FC236}">
              <a16:creationId xmlns:a16="http://schemas.microsoft.com/office/drawing/2014/main" id="{00000000-0008-0000-0C00-000078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121" name="Text Box 165">
          <a:extLst>
            <a:ext uri="{FF2B5EF4-FFF2-40B4-BE49-F238E27FC236}">
              <a16:creationId xmlns:a16="http://schemas.microsoft.com/office/drawing/2014/main" id="{00000000-0008-0000-0C00-000079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122" name="Text Box 166">
          <a:extLst>
            <a:ext uri="{FF2B5EF4-FFF2-40B4-BE49-F238E27FC236}">
              <a16:creationId xmlns:a16="http://schemas.microsoft.com/office/drawing/2014/main" id="{00000000-0008-0000-0C00-00007A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1685925</xdr:colOff>
      <xdr:row>12</xdr:row>
      <xdr:rowOff>0</xdr:rowOff>
    </xdr:from>
    <xdr:to>
      <xdr:col>3</xdr:col>
      <xdr:colOff>114300</xdr:colOff>
      <xdr:row>14</xdr:row>
      <xdr:rowOff>33528</xdr:rowOff>
    </xdr:to>
    <xdr:sp macro="" textlink="">
      <xdr:nvSpPr>
        <xdr:cNvPr id="123" name="Text Box 167">
          <a:extLst>
            <a:ext uri="{FF2B5EF4-FFF2-40B4-BE49-F238E27FC236}">
              <a16:creationId xmlns:a16="http://schemas.microsoft.com/office/drawing/2014/main" id="{00000000-0008-0000-0C00-00007B000000}"/>
            </a:ext>
          </a:extLst>
        </xdr:cNvPr>
        <xdr:cNvSpPr txBox="1">
          <a:spLocks noChangeArrowheads="1"/>
        </xdr:cNvSpPr>
      </xdr:nvSpPr>
      <xdr:spPr bwMode="auto">
        <a:xfrm>
          <a:off x="2819400" y="485775"/>
          <a:ext cx="114300" cy="33528"/>
        </a:xfrm>
        <a:prstGeom prst="rect">
          <a:avLst/>
        </a:prstGeom>
        <a:noFill/>
        <a:ln w="9525">
          <a:noFill/>
          <a:miter lim="800000"/>
          <a:headEnd/>
          <a:tailEnd/>
        </a:ln>
      </xdr:spPr>
    </xdr:sp>
    <xdr:clientData/>
  </xdr:twoCellAnchor>
  <xdr:twoCellAnchor editAs="oneCell">
    <xdr:from>
      <xdr:col>2</xdr:col>
      <xdr:colOff>1685925</xdr:colOff>
      <xdr:row>12</xdr:row>
      <xdr:rowOff>0</xdr:rowOff>
    </xdr:from>
    <xdr:to>
      <xdr:col>3</xdr:col>
      <xdr:colOff>114300</xdr:colOff>
      <xdr:row>14</xdr:row>
      <xdr:rowOff>33528</xdr:rowOff>
    </xdr:to>
    <xdr:sp macro="" textlink="">
      <xdr:nvSpPr>
        <xdr:cNvPr id="124" name="Text Box 168">
          <a:extLst>
            <a:ext uri="{FF2B5EF4-FFF2-40B4-BE49-F238E27FC236}">
              <a16:creationId xmlns:a16="http://schemas.microsoft.com/office/drawing/2014/main" id="{00000000-0008-0000-0C00-00007C000000}"/>
            </a:ext>
          </a:extLst>
        </xdr:cNvPr>
        <xdr:cNvSpPr txBox="1">
          <a:spLocks noChangeArrowheads="1"/>
        </xdr:cNvSpPr>
      </xdr:nvSpPr>
      <xdr:spPr bwMode="auto">
        <a:xfrm>
          <a:off x="2819400" y="485775"/>
          <a:ext cx="114300"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125" name="Text Box 169">
          <a:extLst>
            <a:ext uri="{FF2B5EF4-FFF2-40B4-BE49-F238E27FC236}">
              <a16:creationId xmlns:a16="http://schemas.microsoft.com/office/drawing/2014/main" id="{00000000-0008-0000-0C00-00007D00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126" name="Text Box 170">
          <a:extLst>
            <a:ext uri="{FF2B5EF4-FFF2-40B4-BE49-F238E27FC236}">
              <a16:creationId xmlns:a16="http://schemas.microsoft.com/office/drawing/2014/main" id="{00000000-0008-0000-0C00-00007E00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127" name="Text Box 171">
          <a:extLst>
            <a:ext uri="{FF2B5EF4-FFF2-40B4-BE49-F238E27FC236}">
              <a16:creationId xmlns:a16="http://schemas.microsoft.com/office/drawing/2014/main" id="{00000000-0008-0000-0C00-00007F00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128" name="Text Box 172">
          <a:extLst>
            <a:ext uri="{FF2B5EF4-FFF2-40B4-BE49-F238E27FC236}">
              <a16:creationId xmlns:a16="http://schemas.microsoft.com/office/drawing/2014/main" id="{00000000-0008-0000-0C00-00008000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129" name="Text Box 173">
          <a:extLst>
            <a:ext uri="{FF2B5EF4-FFF2-40B4-BE49-F238E27FC236}">
              <a16:creationId xmlns:a16="http://schemas.microsoft.com/office/drawing/2014/main" id="{00000000-0008-0000-0C00-000081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130" name="Text Box 174">
          <a:extLst>
            <a:ext uri="{FF2B5EF4-FFF2-40B4-BE49-F238E27FC236}">
              <a16:creationId xmlns:a16="http://schemas.microsoft.com/office/drawing/2014/main" id="{00000000-0008-0000-0C00-000082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131" name="Text Box 175">
          <a:extLst>
            <a:ext uri="{FF2B5EF4-FFF2-40B4-BE49-F238E27FC236}">
              <a16:creationId xmlns:a16="http://schemas.microsoft.com/office/drawing/2014/main" id="{00000000-0008-0000-0C00-000083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132" name="Text Box 176">
          <a:extLst>
            <a:ext uri="{FF2B5EF4-FFF2-40B4-BE49-F238E27FC236}">
              <a16:creationId xmlns:a16="http://schemas.microsoft.com/office/drawing/2014/main" id="{00000000-0008-0000-0C00-000084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133" name="Text Box 178">
          <a:extLst>
            <a:ext uri="{FF2B5EF4-FFF2-40B4-BE49-F238E27FC236}">
              <a16:creationId xmlns:a16="http://schemas.microsoft.com/office/drawing/2014/main" id="{00000000-0008-0000-0C00-000085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134" name="Text Box 179">
          <a:extLst>
            <a:ext uri="{FF2B5EF4-FFF2-40B4-BE49-F238E27FC236}">
              <a16:creationId xmlns:a16="http://schemas.microsoft.com/office/drawing/2014/main" id="{00000000-0008-0000-0C00-000086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135" name="Text Box 180">
          <a:extLst>
            <a:ext uri="{FF2B5EF4-FFF2-40B4-BE49-F238E27FC236}">
              <a16:creationId xmlns:a16="http://schemas.microsoft.com/office/drawing/2014/main" id="{00000000-0008-0000-0C00-000087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136" name="Text Box 181">
          <a:extLst>
            <a:ext uri="{FF2B5EF4-FFF2-40B4-BE49-F238E27FC236}">
              <a16:creationId xmlns:a16="http://schemas.microsoft.com/office/drawing/2014/main" id="{00000000-0008-0000-0C00-000088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137" name="Text Box 182">
          <a:extLst>
            <a:ext uri="{FF2B5EF4-FFF2-40B4-BE49-F238E27FC236}">
              <a16:creationId xmlns:a16="http://schemas.microsoft.com/office/drawing/2014/main" id="{00000000-0008-0000-0C00-000089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138" name="Text Box 183">
          <a:extLst>
            <a:ext uri="{FF2B5EF4-FFF2-40B4-BE49-F238E27FC236}">
              <a16:creationId xmlns:a16="http://schemas.microsoft.com/office/drawing/2014/main" id="{00000000-0008-0000-0C00-00008A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139" name="Text Box 184">
          <a:extLst>
            <a:ext uri="{FF2B5EF4-FFF2-40B4-BE49-F238E27FC236}">
              <a16:creationId xmlns:a16="http://schemas.microsoft.com/office/drawing/2014/main" id="{00000000-0008-0000-0C00-00008B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140" name="Text Box 185">
          <a:extLst>
            <a:ext uri="{FF2B5EF4-FFF2-40B4-BE49-F238E27FC236}">
              <a16:creationId xmlns:a16="http://schemas.microsoft.com/office/drawing/2014/main" id="{00000000-0008-0000-0C00-00008C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1685925</xdr:colOff>
      <xdr:row>12</xdr:row>
      <xdr:rowOff>0</xdr:rowOff>
    </xdr:from>
    <xdr:to>
      <xdr:col>4</xdr:col>
      <xdr:colOff>114300</xdr:colOff>
      <xdr:row>14</xdr:row>
      <xdr:rowOff>33528</xdr:rowOff>
    </xdr:to>
    <xdr:sp macro="" textlink="">
      <xdr:nvSpPr>
        <xdr:cNvPr id="141" name="Text Box 186">
          <a:extLst>
            <a:ext uri="{FF2B5EF4-FFF2-40B4-BE49-F238E27FC236}">
              <a16:creationId xmlns:a16="http://schemas.microsoft.com/office/drawing/2014/main" id="{00000000-0008-0000-0C00-00008D000000}"/>
            </a:ext>
          </a:extLst>
        </xdr:cNvPr>
        <xdr:cNvSpPr txBox="1">
          <a:spLocks noChangeArrowheads="1"/>
        </xdr:cNvSpPr>
      </xdr:nvSpPr>
      <xdr:spPr bwMode="auto">
        <a:xfrm>
          <a:off x="3238500" y="485775"/>
          <a:ext cx="114300" cy="33528"/>
        </a:xfrm>
        <a:prstGeom prst="rect">
          <a:avLst/>
        </a:prstGeom>
        <a:noFill/>
        <a:ln w="9525">
          <a:noFill/>
          <a:miter lim="800000"/>
          <a:headEnd/>
          <a:tailEnd/>
        </a:ln>
      </xdr:spPr>
    </xdr:sp>
    <xdr:clientData/>
  </xdr:twoCellAnchor>
  <xdr:twoCellAnchor editAs="oneCell">
    <xdr:from>
      <xdr:col>3</xdr:col>
      <xdr:colOff>1685925</xdr:colOff>
      <xdr:row>12</xdr:row>
      <xdr:rowOff>0</xdr:rowOff>
    </xdr:from>
    <xdr:to>
      <xdr:col>4</xdr:col>
      <xdr:colOff>114300</xdr:colOff>
      <xdr:row>14</xdr:row>
      <xdr:rowOff>33528</xdr:rowOff>
    </xdr:to>
    <xdr:sp macro="" textlink="">
      <xdr:nvSpPr>
        <xdr:cNvPr id="142" name="Text Box 187">
          <a:extLst>
            <a:ext uri="{FF2B5EF4-FFF2-40B4-BE49-F238E27FC236}">
              <a16:creationId xmlns:a16="http://schemas.microsoft.com/office/drawing/2014/main" id="{00000000-0008-0000-0C00-00008E000000}"/>
            </a:ext>
          </a:extLst>
        </xdr:cNvPr>
        <xdr:cNvSpPr txBox="1">
          <a:spLocks noChangeArrowheads="1"/>
        </xdr:cNvSpPr>
      </xdr:nvSpPr>
      <xdr:spPr bwMode="auto">
        <a:xfrm>
          <a:off x="3238500" y="485775"/>
          <a:ext cx="114300"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143" name="Text Box 188">
          <a:extLst>
            <a:ext uri="{FF2B5EF4-FFF2-40B4-BE49-F238E27FC236}">
              <a16:creationId xmlns:a16="http://schemas.microsoft.com/office/drawing/2014/main" id="{00000000-0008-0000-0C00-00008F00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144" name="Text Box 189">
          <a:extLst>
            <a:ext uri="{FF2B5EF4-FFF2-40B4-BE49-F238E27FC236}">
              <a16:creationId xmlns:a16="http://schemas.microsoft.com/office/drawing/2014/main" id="{00000000-0008-0000-0C00-00009000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145" name="Text Box 190">
          <a:extLst>
            <a:ext uri="{FF2B5EF4-FFF2-40B4-BE49-F238E27FC236}">
              <a16:creationId xmlns:a16="http://schemas.microsoft.com/office/drawing/2014/main" id="{00000000-0008-0000-0C00-00009100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146" name="Text Box 191">
          <a:extLst>
            <a:ext uri="{FF2B5EF4-FFF2-40B4-BE49-F238E27FC236}">
              <a16:creationId xmlns:a16="http://schemas.microsoft.com/office/drawing/2014/main" id="{00000000-0008-0000-0C00-00009200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147" name="Text Box 192">
          <a:extLst>
            <a:ext uri="{FF2B5EF4-FFF2-40B4-BE49-F238E27FC236}">
              <a16:creationId xmlns:a16="http://schemas.microsoft.com/office/drawing/2014/main" id="{00000000-0008-0000-0C00-000093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148" name="Text Box 193">
          <a:extLst>
            <a:ext uri="{FF2B5EF4-FFF2-40B4-BE49-F238E27FC236}">
              <a16:creationId xmlns:a16="http://schemas.microsoft.com/office/drawing/2014/main" id="{00000000-0008-0000-0C00-000094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149" name="Text Box 194">
          <a:extLst>
            <a:ext uri="{FF2B5EF4-FFF2-40B4-BE49-F238E27FC236}">
              <a16:creationId xmlns:a16="http://schemas.microsoft.com/office/drawing/2014/main" id="{00000000-0008-0000-0C00-000095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150" name="Text Box 195">
          <a:extLst>
            <a:ext uri="{FF2B5EF4-FFF2-40B4-BE49-F238E27FC236}">
              <a16:creationId xmlns:a16="http://schemas.microsoft.com/office/drawing/2014/main" id="{00000000-0008-0000-0C00-000096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151" name="Text Box 196">
          <a:extLst>
            <a:ext uri="{FF2B5EF4-FFF2-40B4-BE49-F238E27FC236}">
              <a16:creationId xmlns:a16="http://schemas.microsoft.com/office/drawing/2014/main" id="{00000000-0008-0000-0C00-000097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152" name="Text Box 197">
          <a:extLst>
            <a:ext uri="{FF2B5EF4-FFF2-40B4-BE49-F238E27FC236}">
              <a16:creationId xmlns:a16="http://schemas.microsoft.com/office/drawing/2014/main" id="{00000000-0008-0000-0C00-000098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153" name="Text Box 198">
          <a:extLst>
            <a:ext uri="{FF2B5EF4-FFF2-40B4-BE49-F238E27FC236}">
              <a16:creationId xmlns:a16="http://schemas.microsoft.com/office/drawing/2014/main" id="{00000000-0008-0000-0C00-000099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154" name="Text Box 199">
          <a:extLst>
            <a:ext uri="{FF2B5EF4-FFF2-40B4-BE49-F238E27FC236}">
              <a16:creationId xmlns:a16="http://schemas.microsoft.com/office/drawing/2014/main" id="{00000000-0008-0000-0C00-00009A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155" name="Text Box 200">
          <a:extLst>
            <a:ext uri="{FF2B5EF4-FFF2-40B4-BE49-F238E27FC236}">
              <a16:creationId xmlns:a16="http://schemas.microsoft.com/office/drawing/2014/main" id="{00000000-0008-0000-0C00-00009B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156" name="Text Box 201">
          <a:extLst>
            <a:ext uri="{FF2B5EF4-FFF2-40B4-BE49-F238E27FC236}">
              <a16:creationId xmlns:a16="http://schemas.microsoft.com/office/drawing/2014/main" id="{00000000-0008-0000-0C00-00009C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157" name="Text Box 202">
          <a:extLst>
            <a:ext uri="{FF2B5EF4-FFF2-40B4-BE49-F238E27FC236}">
              <a16:creationId xmlns:a16="http://schemas.microsoft.com/office/drawing/2014/main" id="{00000000-0008-0000-0C00-00009D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158" name="Text Box 203">
          <a:extLst>
            <a:ext uri="{FF2B5EF4-FFF2-40B4-BE49-F238E27FC236}">
              <a16:creationId xmlns:a16="http://schemas.microsoft.com/office/drawing/2014/main" id="{00000000-0008-0000-0C00-00009E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159" name="Text Box 204">
          <a:extLst>
            <a:ext uri="{FF2B5EF4-FFF2-40B4-BE49-F238E27FC236}">
              <a16:creationId xmlns:a16="http://schemas.microsoft.com/office/drawing/2014/main" id="{00000000-0008-0000-0C00-00009F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1685925</xdr:colOff>
      <xdr:row>13</xdr:row>
      <xdr:rowOff>0</xdr:rowOff>
    </xdr:from>
    <xdr:to>
      <xdr:col>4</xdr:col>
      <xdr:colOff>114300</xdr:colOff>
      <xdr:row>14</xdr:row>
      <xdr:rowOff>34290</xdr:rowOff>
    </xdr:to>
    <xdr:sp macro="" textlink="">
      <xdr:nvSpPr>
        <xdr:cNvPr id="160" name="Text Box 205">
          <a:extLst>
            <a:ext uri="{FF2B5EF4-FFF2-40B4-BE49-F238E27FC236}">
              <a16:creationId xmlns:a16="http://schemas.microsoft.com/office/drawing/2014/main" id="{00000000-0008-0000-0C00-0000A000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1685925</xdr:colOff>
      <xdr:row>13</xdr:row>
      <xdr:rowOff>0</xdr:rowOff>
    </xdr:from>
    <xdr:to>
      <xdr:col>4</xdr:col>
      <xdr:colOff>114300</xdr:colOff>
      <xdr:row>14</xdr:row>
      <xdr:rowOff>34290</xdr:rowOff>
    </xdr:to>
    <xdr:sp macro="" textlink="">
      <xdr:nvSpPr>
        <xdr:cNvPr id="161" name="Text Box 206">
          <a:extLst>
            <a:ext uri="{FF2B5EF4-FFF2-40B4-BE49-F238E27FC236}">
              <a16:creationId xmlns:a16="http://schemas.microsoft.com/office/drawing/2014/main" id="{00000000-0008-0000-0C00-0000A100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162" name="Text Box 207">
          <a:extLst>
            <a:ext uri="{FF2B5EF4-FFF2-40B4-BE49-F238E27FC236}">
              <a16:creationId xmlns:a16="http://schemas.microsoft.com/office/drawing/2014/main" id="{00000000-0008-0000-0C00-0000A200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163" name="Text Box 208">
          <a:extLst>
            <a:ext uri="{FF2B5EF4-FFF2-40B4-BE49-F238E27FC236}">
              <a16:creationId xmlns:a16="http://schemas.microsoft.com/office/drawing/2014/main" id="{00000000-0008-0000-0C00-0000A300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164" name="Text Box 209">
          <a:extLst>
            <a:ext uri="{FF2B5EF4-FFF2-40B4-BE49-F238E27FC236}">
              <a16:creationId xmlns:a16="http://schemas.microsoft.com/office/drawing/2014/main" id="{00000000-0008-0000-0C00-0000A400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165" name="Text Box 210">
          <a:extLst>
            <a:ext uri="{FF2B5EF4-FFF2-40B4-BE49-F238E27FC236}">
              <a16:creationId xmlns:a16="http://schemas.microsoft.com/office/drawing/2014/main" id="{00000000-0008-0000-0C00-0000A500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166" name="Text Box 211">
          <a:extLst>
            <a:ext uri="{FF2B5EF4-FFF2-40B4-BE49-F238E27FC236}">
              <a16:creationId xmlns:a16="http://schemas.microsoft.com/office/drawing/2014/main" id="{00000000-0008-0000-0C00-0000A6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167" name="Text Box 212">
          <a:extLst>
            <a:ext uri="{FF2B5EF4-FFF2-40B4-BE49-F238E27FC236}">
              <a16:creationId xmlns:a16="http://schemas.microsoft.com/office/drawing/2014/main" id="{00000000-0008-0000-0C00-0000A7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168" name="Text Box 213">
          <a:extLst>
            <a:ext uri="{FF2B5EF4-FFF2-40B4-BE49-F238E27FC236}">
              <a16:creationId xmlns:a16="http://schemas.microsoft.com/office/drawing/2014/main" id="{00000000-0008-0000-0C00-0000A8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169" name="Text Box 214">
          <a:extLst>
            <a:ext uri="{FF2B5EF4-FFF2-40B4-BE49-F238E27FC236}">
              <a16:creationId xmlns:a16="http://schemas.microsoft.com/office/drawing/2014/main" id="{00000000-0008-0000-0C00-0000A9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170" name="Text Box 216">
          <a:extLst>
            <a:ext uri="{FF2B5EF4-FFF2-40B4-BE49-F238E27FC236}">
              <a16:creationId xmlns:a16="http://schemas.microsoft.com/office/drawing/2014/main" id="{00000000-0008-0000-0C00-0000AA00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171" name="Text Box 217">
          <a:extLst>
            <a:ext uri="{FF2B5EF4-FFF2-40B4-BE49-F238E27FC236}">
              <a16:creationId xmlns:a16="http://schemas.microsoft.com/office/drawing/2014/main" id="{00000000-0008-0000-0C00-0000AB00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172" name="Text Box 218">
          <a:extLst>
            <a:ext uri="{FF2B5EF4-FFF2-40B4-BE49-F238E27FC236}">
              <a16:creationId xmlns:a16="http://schemas.microsoft.com/office/drawing/2014/main" id="{00000000-0008-0000-0C00-0000AC00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173" name="Text Box 219">
          <a:extLst>
            <a:ext uri="{FF2B5EF4-FFF2-40B4-BE49-F238E27FC236}">
              <a16:creationId xmlns:a16="http://schemas.microsoft.com/office/drawing/2014/main" id="{00000000-0008-0000-0C00-0000AD00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174" name="Text Box 220">
          <a:extLst>
            <a:ext uri="{FF2B5EF4-FFF2-40B4-BE49-F238E27FC236}">
              <a16:creationId xmlns:a16="http://schemas.microsoft.com/office/drawing/2014/main" id="{00000000-0008-0000-0C00-0000AE00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175" name="Text Box 221">
          <a:extLst>
            <a:ext uri="{FF2B5EF4-FFF2-40B4-BE49-F238E27FC236}">
              <a16:creationId xmlns:a16="http://schemas.microsoft.com/office/drawing/2014/main" id="{00000000-0008-0000-0C00-0000AF00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176" name="Text Box 222">
          <a:extLst>
            <a:ext uri="{FF2B5EF4-FFF2-40B4-BE49-F238E27FC236}">
              <a16:creationId xmlns:a16="http://schemas.microsoft.com/office/drawing/2014/main" id="{00000000-0008-0000-0C00-0000B000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177" name="Text Box 223">
          <a:extLst>
            <a:ext uri="{FF2B5EF4-FFF2-40B4-BE49-F238E27FC236}">
              <a16:creationId xmlns:a16="http://schemas.microsoft.com/office/drawing/2014/main" id="{00000000-0008-0000-0C00-0000B100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1685925</xdr:colOff>
      <xdr:row>14</xdr:row>
      <xdr:rowOff>0</xdr:rowOff>
    </xdr:from>
    <xdr:to>
      <xdr:col>4</xdr:col>
      <xdr:colOff>114300</xdr:colOff>
      <xdr:row>14</xdr:row>
      <xdr:rowOff>34290</xdr:rowOff>
    </xdr:to>
    <xdr:sp macro="" textlink="">
      <xdr:nvSpPr>
        <xdr:cNvPr id="178" name="Text Box 224">
          <a:extLst>
            <a:ext uri="{FF2B5EF4-FFF2-40B4-BE49-F238E27FC236}">
              <a16:creationId xmlns:a16="http://schemas.microsoft.com/office/drawing/2014/main" id="{00000000-0008-0000-0C00-0000B200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179" name="Text Box 226">
          <a:extLst>
            <a:ext uri="{FF2B5EF4-FFF2-40B4-BE49-F238E27FC236}">
              <a16:creationId xmlns:a16="http://schemas.microsoft.com/office/drawing/2014/main" id="{00000000-0008-0000-0C00-0000B300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180" name="Text Box 227">
          <a:extLst>
            <a:ext uri="{FF2B5EF4-FFF2-40B4-BE49-F238E27FC236}">
              <a16:creationId xmlns:a16="http://schemas.microsoft.com/office/drawing/2014/main" id="{00000000-0008-0000-0C00-0000B400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181" name="Text Box 228">
          <a:extLst>
            <a:ext uri="{FF2B5EF4-FFF2-40B4-BE49-F238E27FC236}">
              <a16:creationId xmlns:a16="http://schemas.microsoft.com/office/drawing/2014/main" id="{00000000-0008-0000-0C00-0000B500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182" name="Text Box 229">
          <a:extLst>
            <a:ext uri="{FF2B5EF4-FFF2-40B4-BE49-F238E27FC236}">
              <a16:creationId xmlns:a16="http://schemas.microsoft.com/office/drawing/2014/main" id="{00000000-0008-0000-0C00-0000B600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183" name="Text Box 230">
          <a:extLst>
            <a:ext uri="{FF2B5EF4-FFF2-40B4-BE49-F238E27FC236}">
              <a16:creationId xmlns:a16="http://schemas.microsoft.com/office/drawing/2014/main" id="{00000000-0008-0000-0C00-0000B700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184" name="Text Box 231">
          <a:extLst>
            <a:ext uri="{FF2B5EF4-FFF2-40B4-BE49-F238E27FC236}">
              <a16:creationId xmlns:a16="http://schemas.microsoft.com/office/drawing/2014/main" id="{00000000-0008-0000-0C00-0000B800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185" name="Text Box 232">
          <a:extLst>
            <a:ext uri="{FF2B5EF4-FFF2-40B4-BE49-F238E27FC236}">
              <a16:creationId xmlns:a16="http://schemas.microsoft.com/office/drawing/2014/main" id="{00000000-0008-0000-0C00-0000B900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186" name="Text Box 233">
          <a:extLst>
            <a:ext uri="{FF2B5EF4-FFF2-40B4-BE49-F238E27FC236}">
              <a16:creationId xmlns:a16="http://schemas.microsoft.com/office/drawing/2014/main" id="{00000000-0008-0000-0C00-0000BA00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187" name="Text Box 234">
          <a:extLst>
            <a:ext uri="{FF2B5EF4-FFF2-40B4-BE49-F238E27FC236}">
              <a16:creationId xmlns:a16="http://schemas.microsoft.com/office/drawing/2014/main" id="{00000000-0008-0000-0C00-0000BB00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xdr:from>
      <xdr:col>0</xdr:col>
      <xdr:colOff>0</xdr:colOff>
      <xdr:row>3</xdr:row>
      <xdr:rowOff>0</xdr:rowOff>
    </xdr:from>
    <xdr:to>
      <xdr:col>0</xdr:col>
      <xdr:colOff>638175</xdr:colOff>
      <xdr:row>3</xdr:row>
      <xdr:rowOff>0</xdr:rowOff>
    </xdr:to>
    <xdr:sp macro="" textlink="">
      <xdr:nvSpPr>
        <xdr:cNvPr id="188" name="Line 1">
          <a:extLst>
            <a:ext uri="{FF2B5EF4-FFF2-40B4-BE49-F238E27FC236}">
              <a16:creationId xmlns:a16="http://schemas.microsoft.com/office/drawing/2014/main" id="{00000000-0008-0000-0C00-0000BC000000}"/>
            </a:ext>
          </a:extLst>
        </xdr:cNvPr>
        <xdr:cNvSpPr>
          <a:spLocks noChangeShapeType="1"/>
        </xdr:cNvSpPr>
      </xdr:nvSpPr>
      <xdr:spPr bwMode="auto">
        <a:xfrm>
          <a:off x="0" y="485775"/>
          <a:ext cx="638175" cy="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0</xdr:col>
      <xdr:colOff>638175</xdr:colOff>
      <xdr:row>3</xdr:row>
      <xdr:rowOff>0</xdr:rowOff>
    </xdr:to>
    <xdr:sp macro="" textlink="">
      <xdr:nvSpPr>
        <xdr:cNvPr id="189" name="Line 2">
          <a:extLst>
            <a:ext uri="{FF2B5EF4-FFF2-40B4-BE49-F238E27FC236}">
              <a16:creationId xmlns:a16="http://schemas.microsoft.com/office/drawing/2014/main" id="{00000000-0008-0000-0C00-0000BD000000}"/>
            </a:ext>
          </a:extLst>
        </xdr:cNvPr>
        <xdr:cNvSpPr>
          <a:spLocks noChangeShapeType="1"/>
        </xdr:cNvSpPr>
      </xdr:nvSpPr>
      <xdr:spPr bwMode="auto">
        <a:xfrm>
          <a:off x="0" y="485775"/>
          <a:ext cx="638175" cy="0"/>
        </a:xfrm>
        <a:prstGeom prst="line">
          <a:avLst/>
        </a:prstGeom>
        <a:noFill/>
        <a:ln w="9525">
          <a:solidFill>
            <a:srgbClr val="000000"/>
          </a:solidFill>
          <a:round/>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90" name="Text Box 134">
          <a:extLst>
            <a:ext uri="{FF2B5EF4-FFF2-40B4-BE49-F238E27FC236}">
              <a16:creationId xmlns:a16="http://schemas.microsoft.com/office/drawing/2014/main" id="{00000000-0008-0000-0C00-0000BE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91" name="Text Box 135">
          <a:extLst>
            <a:ext uri="{FF2B5EF4-FFF2-40B4-BE49-F238E27FC236}">
              <a16:creationId xmlns:a16="http://schemas.microsoft.com/office/drawing/2014/main" id="{00000000-0008-0000-0C00-0000BF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92" name="Text Box 142">
          <a:extLst>
            <a:ext uri="{FF2B5EF4-FFF2-40B4-BE49-F238E27FC236}">
              <a16:creationId xmlns:a16="http://schemas.microsoft.com/office/drawing/2014/main" id="{00000000-0008-0000-0C00-0000C0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93" name="Text Box 143">
          <a:extLst>
            <a:ext uri="{FF2B5EF4-FFF2-40B4-BE49-F238E27FC236}">
              <a16:creationId xmlns:a16="http://schemas.microsoft.com/office/drawing/2014/main" id="{00000000-0008-0000-0C00-0000C1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94" name="Text Box 144">
          <a:extLst>
            <a:ext uri="{FF2B5EF4-FFF2-40B4-BE49-F238E27FC236}">
              <a16:creationId xmlns:a16="http://schemas.microsoft.com/office/drawing/2014/main" id="{00000000-0008-0000-0C00-0000C2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95" name="Text Box 145">
          <a:extLst>
            <a:ext uri="{FF2B5EF4-FFF2-40B4-BE49-F238E27FC236}">
              <a16:creationId xmlns:a16="http://schemas.microsoft.com/office/drawing/2014/main" id="{00000000-0008-0000-0C00-0000C3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96" name="Text Box 146">
          <a:extLst>
            <a:ext uri="{FF2B5EF4-FFF2-40B4-BE49-F238E27FC236}">
              <a16:creationId xmlns:a16="http://schemas.microsoft.com/office/drawing/2014/main" id="{00000000-0008-0000-0C00-0000C4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197" name="Text Box 147">
          <a:extLst>
            <a:ext uri="{FF2B5EF4-FFF2-40B4-BE49-F238E27FC236}">
              <a16:creationId xmlns:a16="http://schemas.microsoft.com/office/drawing/2014/main" id="{00000000-0008-0000-0C00-0000C5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1685925</xdr:colOff>
      <xdr:row>12</xdr:row>
      <xdr:rowOff>0</xdr:rowOff>
    </xdr:from>
    <xdr:to>
      <xdr:col>2</xdr:col>
      <xdr:colOff>114300</xdr:colOff>
      <xdr:row>14</xdr:row>
      <xdr:rowOff>33528</xdr:rowOff>
    </xdr:to>
    <xdr:sp macro="" textlink="">
      <xdr:nvSpPr>
        <xdr:cNvPr id="198" name="Text Box 136">
          <a:extLst>
            <a:ext uri="{FF2B5EF4-FFF2-40B4-BE49-F238E27FC236}">
              <a16:creationId xmlns:a16="http://schemas.microsoft.com/office/drawing/2014/main" id="{00000000-0008-0000-0C00-0000C6000000}"/>
            </a:ext>
          </a:extLst>
        </xdr:cNvPr>
        <xdr:cNvSpPr txBox="1">
          <a:spLocks noChangeArrowheads="1"/>
        </xdr:cNvSpPr>
      </xdr:nvSpPr>
      <xdr:spPr bwMode="auto">
        <a:xfrm>
          <a:off x="2400300" y="485775"/>
          <a:ext cx="114300" cy="33528"/>
        </a:xfrm>
        <a:prstGeom prst="rect">
          <a:avLst/>
        </a:prstGeom>
        <a:noFill/>
        <a:ln w="9525">
          <a:noFill/>
          <a:miter lim="800000"/>
          <a:headEnd/>
          <a:tailEnd/>
        </a:ln>
      </xdr:spPr>
    </xdr:sp>
    <xdr:clientData/>
  </xdr:twoCellAnchor>
  <xdr:twoCellAnchor editAs="oneCell">
    <xdr:from>
      <xdr:col>1</xdr:col>
      <xdr:colOff>1685925</xdr:colOff>
      <xdr:row>12</xdr:row>
      <xdr:rowOff>0</xdr:rowOff>
    </xdr:from>
    <xdr:to>
      <xdr:col>2</xdr:col>
      <xdr:colOff>114300</xdr:colOff>
      <xdr:row>14</xdr:row>
      <xdr:rowOff>33528</xdr:rowOff>
    </xdr:to>
    <xdr:sp macro="" textlink="">
      <xdr:nvSpPr>
        <xdr:cNvPr id="199" name="Text Box 137">
          <a:extLst>
            <a:ext uri="{FF2B5EF4-FFF2-40B4-BE49-F238E27FC236}">
              <a16:creationId xmlns:a16="http://schemas.microsoft.com/office/drawing/2014/main" id="{00000000-0008-0000-0C00-0000C7000000}"/>
            </a:ext>
          </a:extLst>
        </xdr:cNvPr>
        <xdr:cNvSpPr txBox="1">
          <a:spLocks noChangeArrowheads="1"/>
        </xdr:cNvSpPr>
      </xdr:nvSpPr>
      <xdr:spPr bwMode="auto">
        <a:xfrm>
          <a:off x="2400300" y="485775"/>
          <a:ext cx="114300"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200" name="Text Box 150">
          <a:extLst>
            <a:ext uri="{FF2B5EF4-FFF2-40B4-BE49-F238E27FC236}">
              <a16:creationId xmlns:a16="http://schemas.microsoft.com/office/drawing/2014/main" id="{00000000-0008-0000-0C00-0000C800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201" name="Text Box 151">
          <a:extLst>
            <a:ext uri="{FF2B5EF4-FFF2-40B4-BE49-F238E27FC236}">
              <a16:creationId xmlns:a16="http://schemas.microsoft.com/office/drawing/2014/main" id="{00000000-0008-0000-0C00-0000C900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202" name="Text Box 152">
          <a:extLst>
            <a:ext uri="{FF2B5EF4-FFF2-40B4-BE49-F238E27FC236}">
              <a16:creationId xmlns:a16="http://schemas.microsoft.com/office/drawing/2014/main" id="{00000000-0008-0000-0C00-0000CA00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203" name="Text Box 153">
          <a:extLst>
            <a:ext uri="{FF2B5EF4-FFF2-40B4-BE49-F238E27FC236}">
              <a16:creationId xmlns:a16="http://schemas.microsoft.com/office/drawing/2014/main" id="{00000000-0008-0000-0C00-0000CB00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04" name="Text Box 154">
          <a:extLst>
            <a:ext uri="{FF2B5EF4-FFF2-40B4-BE49-F238E27FC236}">
              <a16:creationId xmlns:a16="http://schemas.microsoft.com/office/drawing/2014/main" id="{00000000-0008-0000-0C00-0000CC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05" name="Text Box 155">
          <a:extLst>
            <a:ext uri="{FF2B5EF4-FFF2-40B4-BE49-F238E27FC236}">
              <a16:creationId xmlns:a16="http://schemas.microsoft.com/office/drawing/2014/main" id="{00000000-0008-0000-0C00-0000CD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06" name="Text Box 156">
          <a:extLst>
            <a:ext uri="{FF2B5EF4-FFF2-40B4-BE49-F238E27FC236}">
              <a16:creationId xmlns:a16="http://schemas.microsoft.com/office/drawing/2014/main" id="{00000000-0008-0000-0C00-0000CE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07" name="Text Box 157">
          <a:extLst>
            <a:ext uri="{FF2B5EF4-FFF2-40B4-BE49-F238E27FC236}">
              <a16:creationId xmlns:a16="http://schemas.microsoft.com/office/drawing/2014/main" id="{00000000-0008-0000-0C00-0000CF00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08" name="Text Box 159">
          <a:extLst>
            <a:ext uri="{FF2B5EF4-FFF2-40B4-BE49-F238E27FC236}">
              <a16:creationId xmlns:a16="http://schemas.microsoft.com/office/drawing/2014/main" id="{00000000-0008-0000-0C00-0000D0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09" name="Text Box 160">
          <a:extLst>
            <a:ext uri="{FF2B5EF4-FFF2-40B4-BE49-F238E27FC236}">
              <a16:creationId xmlns:a16="http://schemas.microsoft.com/office/drawing/2014/main" id="{00000000-0008-0000-0C00-0000D1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10" name="Text Box 161">
          <a:extLst>
            <a:ext uri="{FF2B5EF4-FFF2-40B4-BE49-F238E27FC236}">
              <a16:creationId xmlns:a16="http://schemas.microsoft.com/office/drawing/2014/main" id="{00000000-0008-0000-0C00-0000D2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11" name="Text Box 162">
          <a:extLst>
            <a:ext uri="{FF2B5EF4-FFF2-40B4-BE49-F238E27FC236}">
              <a16:creationId xmlns:a16="http://schemas.microsoft.com/office/drawing/2014/main" id="{00000000-0008-0000-0C00-0000D3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12" name="Text Box 163">
          <a:extLst>
            <a:ext uri="{FF2B5EF4-FFF2-40B4-BE49-F238E27FC236}">
              <a16:creationId xmlns:a16="http://schemas.microsoft.com/office/drawing/2014/main" id="{00000000-0008-0000-0C00-0000D4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13" name="Text Box 164">
          <a:extLst>
            <a:ext uri="{FF2B5EF4-FFF2-40B4-BE49-F238E27FC236}">
              <a16:creationId xmlns:a16="http://schemas.microsoft.com/office/drawing/2014/main" id="{00000000-0008-0000-0C00-0000D5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14" name="Text Box 165">
          <a:extLst>
            <a:ext uri="{FF2B5EF4-FFF2-40B4-BE49-F238E27FC236}">
              <a16:creationId xmlns:a16="http://schemas.microsoft.com/office/drawing/2014/main" id="{00000000-0008-0000-0C00-0000D6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15" name="Text Box 166">
          <a:extLst>
            <a:ext uri="{FF2B5EF4-FFF2-40B4-BE49-F238E27FC236}">
              <a16:creationId xmlns:a16="http://schemas.microsoft.com/office/drawing/2014/main" id="{00000000-0008-0000-0C00-0000D7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1685925</xdr:colOff>
      <xdr:row>12</xdr:row>
      <xdr:rowOff>0</xdr:rowOff>
    </xdr:from>
    <xdr:to>
      <xdr:col>3</xdr:col>
      <xdr:colOff>114300</xdr:colOff>
      <xdr:row>14</xdr:row>
      <xdr:rowOff>33528</xdr:rowOff>
    </xdr:to>
    <xdr:sp macro="" textlink="">
      <xdr:nvSpPr>
        <xdr:cNvPr id="216" name="Text Box 167">
          <a:extLst>
            <a:ext uri="{FF2B5EF4-FFF2-40B4-BE49-F238E27FC236}">
              <a16:creationId xmlns:a16="http://schemas.microsoft.com/office/drawing/2014/main" id="{00000000-0008-0000-0C00-0000D8000000}"/>
            </a:ext>
          </a:extLst>
        </xdr:cNvPr>
        <xdr:cNvSpPr txBox="1">
          <a:spLocks noChangeArrowheads="1"/>
        </xdr:cNvSpPr>
      </xdr:nvSpPr>
      <xdr:spPr bwMode="auto">
        <a:xfrm>
          <a:off x="2819400" y="485775"/>
          <a:ext cx="114300" cy="33528"/>
        </a:xfrm>
        <a:prstGeom prst="rect">
          <a:avLst/>
        </a:prstGeom>
        <a:noFill/>
        <a:ln w="9525">
          <a:noFill/>
          <a:miter lim="800000"/>
          <a:headEnd/>
          <a:tailEnd/>
        </a:ln>
      </xdr:spPr>
    </xdr:sp>
    <xdr:clientData/>
  </xdr:twoCellAnchor>
  <xdr:twoCellAnchor editAs="oneCell">
    <xdr:from>
      <xdr:col>2</xdr:col>
      <xdr:colOff>1685925</xdr:colOff>
      <xdr:row>12</xdr:row>
      <xdr:rowOff>0</xdr:rowOff>
    </xdr:from>
    <xdr:to>
      <xdr:col>3</xdr:col>
      <xdr:colOff>114300</xdr:colOff>
      <xdr:row>14</xdr:row>
      <xdr:rowOff>33528</xdr:rowOff>
    </xdr:to>
    <xdr:sp macro="" textlink="">
      <xdr:nvSpPr>
        <xdr:cNvPr id="217" name="Text Box 168">
          <a:extLst>
            <a:ext uri="{FF2B5EF4-FFF2-40B4-BE49-F238E27FC236}">
              <a16:creationId xmlns:a16="http://schemas.microsoft.com/office/drawing/2014/main" id="{00000000-0008-0000-0C00-0000D9000000}"/>
            </a:ext>
          </a:extLst>
        </xdr:cNvPr>
        <xdr:cNvSpPr txBox="1">
          <a:spLocks noChangeArrowheads="1"/>
        </xdr:cNvSpPr>
      </xdr:nvSpPr>
      <xdr:spPr bwMode="auto">
        <a:xfrm>
          <a:off x="2819400" y="485775"/>
          <a:ext cx="114300"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218" name="Text Box 169">
          <a:extLst>
            <a:ext uri="{FF2B5EF4-FFF2-40B4-BE49-F238E27FC236}">
              <a16:creationId xmlns:a16="http://schemas.microsoft.com/office/drawing/2014/main" id="{00000000-0008-0000-0C00-0000DA00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219" name="Text Box 170">
          <a:extLst>
            <a:ext uri="{FF2B5EF4-FFF2-40B4-BE49-F238E27FC236}">
              <a16:creationId xmlns:a16="http://schemas.microsoft.com/office/drawing/2014/main" id="{00000000-0008-0000-0C00-0000DB00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220" name="Text Box 171">
          <a:extLst>
            <a:ext uri="{FF2B5EF4-FFF2-40B4-BE49-F238E27FC236}">
              <a16:creationId xmlns:a16="http://schemas.microsoft.com/office/drawing/2014/main" id="{00000000-0008-0000-0C00-0000DC00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221" name="Text Box 172">
          <a:extLst>
            <a:ext uri="{FF2B5EF4-FFF2-40B4-BE49-F238E27FC236}">
              <a16:creationId xmlns:a16="http://schemas.microsoft.com/office/drawing/2014/main" id="{00000000-0008-0000-0C00-0000DD00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22" name="Text Box 173">
          <a:extLst>
            <a:ext uri="{FF2B5EF4-FFF2-40B4-BE49-F238E27FC236}">
              <a16:creationId xmlns:a16="http://schemas.microsoft.com/office/drawing/2014/main" id="{00000000-0008-0000-0C00-0000DE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23" name="Text Box 174">
          <a:extLst>
            <a:ext uri="{FF2B5EF4-FFF2-40B4-BE49-F238E27FC236}">
              <a16:creationId xmlns:a16="http://schemas.microsoft.com/office/drawing/2014/main" id="{00000000-0008-0000-0C00-0000DF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24" name="Text Box 175">
          <a:extLst>
            <a:ext uri="{FF2B5EF4-FFF2-40B4-BE49-F238E27FC236}">
              <a16:creationId xmlns:a16="http://schemas.microsoft.com/office/drawing/2014/main" id="{00000000-0008-0000-0C00-0000E0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225" name="Text Box 176">
          <a:extLst>
            <a:ext uri="{FF2B5EF4-FFF2-40B4-BE49-F238E27FC236}">
              <a16:creationId xmlns:a16="http://schemas.microsoft.com/office/drawing/2014/main" id="{00000000-0008-0000-0C00-0000E100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226" name="Text Box 178">
          <a:extLst>
            <a:ext uri="{FF2B5EF4-FFF2-40B4-BE49-F238E27FC236}">
              <a16:creationId xmlns:a16="http://schemas.microsoft.com/office/drawing/2014/main" id="{00000000-0008-0000-0C00-0000E2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227" name="Text Box 179">
          <a:extLst>
            <a:ext uri="{FF2B5EF4-FFF2-40B4-BE49-F238E27FC236}">
              <a16:creationId xmlns:a16="http://schemas.microsoft.com/office/drawing/2014/main" id="{00000000-0008-0000-0C00-0000E3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228" name="Text Box 180">
          <a:extLst>
            <a:ext uri="{FF2B5EF4-FFF2-40B4-BE49-F238E27FC236}">
              <a16:creationId xmlns:a16="http://schemas.microsoft.com/office/drawing/2014/main" id="{00000000-0008-0000-0C00-0000E4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229" name="Text Box 181">
          <a:extLst>
            <a:ext uri="{FF2B5EF4-FFF2-40B4-BE49-F238E27FC236}">
              <a16:creationId xmlns:a16="http://schemas.microsoft.com/office/drawing/2014/main" id="{00000000-0008-0000-0C00-0000E5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230" name="Text Box 182">
          <a:extLst>
            <a:ext uri="{FF2B5EF4-FFF2-40B4-BE49-F238E27FC236}">
              <a16:creationId xmlns:a16="http://schemas.microsoft.com/office/drawing/2014/main" id="{00000000-0008-0000-0C00-0000E6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231" name="Text Box 183">
          <a:extLst>
            <a:ext uri="{FF2B5EF4-FFF2-40B4-BE49-F238E27FC236}">
              <a16:creationId xmlns:a16="http://schemas.microsoft.com/office/drawing/2014/main" id="{00000000-0008-0000-0C00-0000E7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232" name="Text Box 184">
          <a:extLst>
            <a:ext uri="{FF2B5EF4-FFF2-40B4-BE49-F238E27FC236}">
              <a16:creationId xmlns:a16="http://schemas.microsoft.com/office/drawing/2014/main" id="{00000000-0008-0000-0C00-0000E8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233" name="Text Box 185">
          <a:extLst>
            <a:ext uri="{FF2B5EF4-FFF2-40B4-BE49-F238E27FC236}">
              <a16:creationId xmlns:a16="http://schemas.microsoft.com/office/drawing/2014/main" id="{00000000-0008-0000-0C00-0000E9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1685925</xdr:colOff>
      <xdr:row>12</xdr:row>
      <xdr:rowOff>0</xdr:rowOff>
    </xdr:from>
    <xdr:to>
      <xdr:col>4</xdr:col>
      <xdr:colOff>114300</xdr:colOff>
      <xdr:row>14</xdr:row>
      <xdr:rowOff>33528</xdr:rowOff>
    </xdr:to>
    <xdr:sp macro="" textlink="">
      <xdr:nvSpPr>
        <xdr:cNvPr id="234" name="Text Box 186">
          <a:extLst>
            <a:ext uri="{FF2B5EF4-FFF2-40B4-BE49-F238E27FC236}">
              <a16:creationId xmlns:a16="http://schemas.microsoft.com/office/drawing/2014/main" id="{00000000-0008-0000-0C00-0000EA000000}"/>
            </a:ext>
          </a:extLst>
        </xdr:cNvPr>
        <xdr:cNvSpPr txBox="1">
          <a:spLocks noChangeArrowheads="1"/>
        </xdr:cNvSpPr>
      </xdr:nvSpPr>
      <xdr:spPr bwMode="auto">
        <a:xfrm>
          <a:off x="3238500" y="485775"/>
          <a:ext cx="114300" cy="33528"/>
        </a:xfrm>
        <a:prstGeom prst="rect">
          <a:avLst/>
        </a:prstGeom>
        <a:noFill/>
        <a:ln w="9525">
          <a:noFill/>
          <a:miter lim="800000"/>
          <a:headEnd/>
          <a:tailEnd/>
        </a:ln>
      </xdr:spPr>
    </xdr:sp>
    <xdr:clientData/>
  </xdr:twoCellAnchor>
  <xdr:twoCellAnchor editAs="oneCell">
    <xdr:from>
      <xdr:col>3</xdr:col>
      <xdr:colOff>1685925</xdr:colOff>
      <xdr:row>12</xdr:row>
      <xdr:rowOff>0</xdr:rowOff>
    </xdr:from>
    <xdr:to>
      <xdr:col>4</xdr:col>
      <xdr:colOff>114300</xdr:colOff>
      <xdr:row>14</xdr:row>
      <xdr:rowOff>33528</xdr:rowOff>
    </xdr:to>
    <xdr:sp macro="" textlink="">
      <xdr:nvSpPr>
        <xdr:cNvPr id="235" name="Text Box 187">
          <a:extLst>
            <a:ext uri="{FF2B5EF4-FFF2-40B4-BE49-F238E27FC236}">
              <a16:creationId xmlns:a16="http://schemas.microsoft.com/office/drawing/2014/main" id="{00000000-0008-0000-0C00-0000EB000000}"/>
            </a:ext>
          </a:extLst>
        </xdr:cNvPr>
        <xdr:cNvSpPr txBox="1">
          <a:spLocks noChangeArrowheads="1"/>
        </xdr:cNvSpPr>
      </xdr:nvSpPr>
      <xdr:spPr bwMode="auto">
        <a:xfrm>
          <a:off x="3238500" y="485775"/>
          <a:ext cx="114300"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236" name="Text Box 188">
          <a:extLst>
            <a:ext uri="{FF2B5EF4-FFF2-40B4-BE49-F238E27FC236}">
              <a16:creationId xmlns:a16="http://schemas.microsoft.com/office/drawing/2014/main" id="{00000000-0008-0000-0C00-0000EC00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237" name="Text Box 189">
          <a:extLst>
            <a:ext uri="{FF2B5EF4-FFF2-40B4-BE49-F238E27FC236}">
              <a16:creationId xmlns:a16="http://schemas.microsoft.com/office/drawing/2014/main" id="{00000000-0008-0000-0C00-0000ED00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238" name="Text Box 190">
          <a:extLst>
            <a:ext uri="{FF2B5EF4-FFF2-40B4-BE49-F238E27FC236}">
              <a16:creationId xmlns:a16="http://schemas.microsoft.com/office/drawing/2014/main" id="{00000000-0008-0000-0C00-0000EE00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239" name="Text Box 191">
          <a:extLst>
            <a:ext uri="{FF2B5EF4-FFF2-40B4-BE49-F238E27FC236}">
              <a16:creationId xmlns:a16="http://schemas.microsoft.com/office/drawing/2014/main" id="{00000000-0008-0000-0C00-0000EF00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240" name="Text Box 192">
          <a:extLst>
            <a:ext uri="{FF2B5EF4-FFF2-40B4-BE49-F238E27FC236}">
              <a16:creationId xmlns:a16="http://schemas.microsoft.com/office/drawing/2014/main" id="{00000000-0008-0000-0C00-0000F0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241" name="Text Box 193">
          <a:extLst>
            <a:ext uri="{FF2B5EF4-FFF2-40B4-BE49-F238E27FC236}">
              <a16:creationId xmlns:a16="http://schemas.microsoft.com/office/drawing/2014/main" id="{00000000-0008-0000-0C00-0000F1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242" name="Text Box 194">
          <a:extLst>
            <a:ext uri="{FF2B5EF4-FFF2-40B4-BE49-F238E27FC236}">
              <a16:creationId xmlns:a16="http://schemas.microsoft.com/office/drawing/2014/main" id="{00000000-0008-0000-0C00-0000F2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243" name="Text Box 195">
          <a:extLst>
            <a:ext uri="{FF2B5EF4-FFF2-40B4-BE49-F238E27FC236}">
              <a16:creationId xmlns:a16="http://schemas.microsoft.com/office/drawing/2014/main" id="{00000000-0008-0000-0C00-0000F3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244" name="Text Box 196">
          <a:extLst>
            <a:ext uri="{FF2B5EF4-FFF2-40B4-BE49-F238E27FC236}">
              <a16:creationId xmlns:a16="http://schemas.microsoft.com/office/drawing/2014/main" id="{00000000-0008-0000-0C00-0000F4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245" name="Text Box 197">
          <a:extLst>
            <a:ext uri="{FF2B5EF4-FFF2-40B4-BE49-F238E27FC236}">
              <a16:creationId xmlns:a16="http://schemas.microsoft.com/office/drawing/2014/main" id="{00000000-0008-0000-0C00-0000F5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246" name="Text Box 198">
          <a:extLst>
            <a:ext uri="{FF2B5EF4-FFF2-40B4-BE49-F238E27FC236}">
              <a16:creationId xmlns:a16="http://schemas.microsoft.com/office/drawing/2014/main" id="{00000000-0008-0000-0C00-0000F6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247" name="Text Box 199">
          <a:extLst>
            <a:ext uri="{FF2B5EF4-FFF2-40B4-BE49-F238E27FC236}">
              <a16:creationId xmlns:a16="http://schemas.microsoft.com/office/drawing/2014/main" id="{00000000-0008-0000-0C00-0000F7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248" name="Text Box 200">
          <a:extLst>
            <a:ext uri="{FF2B5EF4-FFF2-40B4-BE49-F238E27FC236}">
              <a16:creationId xmlns:a16="http://schemas.microsoft.com/office/drawing/2014/main" id="{00000000-0008-0000-0C00-0000F8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249" name="Text Box 201">
          <a:extLst>
            <a:ext uri="{FF2B5EF4-FFF2-40B4-BE49-F238E27FC236}">
              <a16:creationId xmlns:a16="http://schemas.microsoft.com/office/drawing/2014/main" id="{00000000-0008-0000-0C00-0000F9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250" name="Text Box 202">
          <a:extLst>
            <a:ext uri="{FF2B5EF4-FFF2-40B4-BE49-F238E27FC236}">
              <a16:creationId xmlns:a16="http://schemas.microsoft.com/office/drawing/2014/main" id="{00000000-0008-0000-0C00-0000FA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251" name="Text Box 203">
          <a:extLst>
            <a:ext uri="{FF2B5EF4-FFF2-40B4-BE49-F238E27FC236}">
              <a16:creationId xmlns:a16="http://schemas.microsoft.com/office/drawing/2014/main" id="{00000000-0008-0000-0C00-0000FB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252" name="Text Box 204">
          <a:extLst>
            <a:ext uri="{FF2B5EF4-FFF2-40B4-BE49-F238E27FC236}">
              <a16:creationId xmlns:a16="http://schemas.microsoft.com/office/drawing/2014/main" id="{00000000-0008-0000-0C00-0000FC00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1685925</xdr:colOff>
      <xdr:row>13</xdr:row>
      <xdr:rowOff>0</xdr:rowOff>
    </xdr:from>
    <xdr:to>
      <xdr:col>4</xdr:col>
      <xdr:colOff>114300</xdr:colOff>
      <xdr:row>14</xdr:row>
      <xdr:rowOff>34290</xdr:rowOff>
    </xdr:to>
    <xdr:sp macro="" textlink="">
      <xdr:nvSpPr>
        <xdr:cNvPr id="253" name="Text Box 205">
          <a:extLst>
            <a:ext uri="{FF2B5EF4-FFF2-40B4-BE49-F238E27FC236}">
              <a16:creationId xmlns:a16="http://schemas.microsoft.com/office/drawing/2014/main" id="{00000000-0008-0000-0C00-0000FD00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1685925</xdr:colOff>
      <xdr:row>13</xdr:row>
      <xdr:rowOff>0</xdr:rowOff>
    </xdr:from>
    <xdr:to>
      <xdr:col>4</xdr:col>
      <xdr:colOff>114300</xdr:colOff>
      <xdr:row>14</xdr:row>
      <xdr:rowOff>34290</xdr:rowOff>
    </xdr:to>
    <xdr:sp macro="" textlink="">
      <xdr:nvSpPr>
        <xdr:cNvPr id="254" name="Text Box 206">
          <a:extLst>
            <a:ext uri="{FF2B5EF4-FFF2-40B4-BE49-F238E27FC236}">
              <a16:creationId xmlns:a16="http://schemas.microsoft.com/office/drawing/2014/main" id="{00000000-0008-0000-0C00-0000FE00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255" name="Text Box 207">
          <a:extLst>
            <a:ext uri="{FF2B5EF4-FFF2-40B4-BE49-F238E27FC236}">
              <a16:creationId xmlns:a16="http://schemas.microsoft.com/office/drawing/2014/main" id="{00000000-0008-0000-0C00-0000FF00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256" name="Text Box 208">
          <a:extLst>
            <a:ext uri="{FF2B5EF4-FFF2-40B4-BE49-F238E27FC236}">
              <a16:creationId xmlns:a16="http://schemas.microsoft.com/office/drawing/2014/main" id="{00000000-0008-0000-0C00-000000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257" name="Text Box 209">
          <a:extLst>
            <a:ext uri="{FF2B5EF4-FFF2-40B4-BE49-F238E27FC236}">
              <a16:creationId xmlns:a16="http://schemas.microsoft.com/office/drawing/2014/main" id="{00000000-0008-0000-0C00-000001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258" name="Text Box 210">
          <a:extLst>
            <a:ext uri="{FF2B5EF4-FFF2-40B4-BE49-F238E27FC236}">
              <a16:creationId xmlns:a16="http://schemas.microsoft.com/office/drawing/2014/main" id="{00000000-0008-0000-0C00-000002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259" name="Text Box 211">
          <a:extLst>
            <a:ext uri="{FF2B5EF4-FFF2-40B4-BE49-F238E27FC236}">
              <a16:creationId xmlns:a16="http://schemas.microsoft.com/office/drawing/2014/main" id="{00000000-0008-0000-0C00-000003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260" name="Text Box 212">
          <a:extLst>
            <a:ext uri="{FF2B5EF4-FFF2-40B4-BE49-F238E27FC236}">
              <a16:creationId xmlns:a16="http://schemas.microsoft.com/office/drawing/2014/main" id="{00000000-0008-0000-0C00-000004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261" name="Text Box 213">
          <a:extLst>
            <a:ext uri="{FF2B5EF4-FFF2-40B4-BE49-F238E27FC236}">
              <a16:creationId xmlns:a16="http://schemas.microsoft.com/office/drawing/2014/main" id="{00000000-0008-0000-0C00-000005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262" name="Text Box 214">
          <a:extLst>
            <a:ext uri="{FF2B5EF4-FFF2-40B4-BE49-F238E27FC236}">
              <a16:creationId xmlns:a16="http://schemas.microsoft.com/office/drawing/2014/main" id="{00000000-0008-0000-0C00-000006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263" name="Text Box 216">
          <a:extLst>
            <a:ext uri="{FF2B5EF4-FFF2-40B4-BE49-F238E27FC236}">
              <a16:creationId xmlns:a16="http://schemas.microsoft.com/office/drawing/2014/main" id="{00000000-0008-0000-0C00-000007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264" name="Text Box 217">
          <a:extLst>
            <a:ext uri="{FF2B5EF4-FFF2-40B4-BE49-F238E27FC236}">
              <a16:creationId xmlns:a16="http://schemas.microsoft.com/office/drawing/2014/main" id="{00000000-0008-0000-0C00-000008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265" name="Text Box 218">
          <a:extLst>
            <a:ext uri="{FF2B5EF4-FFF2-40B4-BE49-F238E27FC236}">
              <a16:creationId xmlns:a16="http://schemas.microsoft.com/office/drawing/2014/main" id="{00000000-0008-0000-0C00-000009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266" name="Text Box 219">
          <a:extLst>
            <a:ext uri="{FF2B5EF4-FFF2-40B4-BE49-F238E27FC236}">
              <a16:creationId xmlns:a16="http://schemas.microsoft.com/office/drawing/2014/main" id="{00000000-0008-0000-0C00-00000A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267" name="Text Box 220">
          <a:extLst>
            <a:ext uri="{FF2B5EF4-FFF2-40B4-BE49-F238E27FC236}">
              <a16:creationId xmlns:a16="http://schemas.microsoft.com/office/drawing/2014/main" id="{00000000-0008-0000-0C00-00000B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268" name="Text Box 221">
          <a:extLst>
            <a:ext uri="{FF2B5EF4-FFF2-40B4-BE49-F238E27FC236}">
              <a16:creationId xmlns:a16="http://schemas.microsoft.com/office/drawing/2014/main" id="{00000000-0008-0000-0C00-00000C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269" name="Text Box 222">
          <a:extLst>
            <a:ext uri="{FF2B5EF4-FFF2-40B4-BE49-F238E27FC236}">
              <a16:creationId xmlns:a16="http://schemas.microsoft.com/office/drawing/2014/main" id="{00000000-0008-0000-0C00-00000D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270" name="Text Box 223">
          <a:extLst>
            <a:ext uri="{FF2B5EF4-FFF2-40B4-BE49-F238E27FC236}">
              <a16:creationId xmlns:a16="http://schemas.microsoft.com/office/drawing/2014/main" id="{00000000-0008-0000-0C00-00000E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1685925</xdr:colOff>
      <xdr:row>14</xdr:row>
      <xdr:rowOff>0</xdr:rowOff>
    </xdr:from>
    <xdr:to>
      <xdr:col>4</xdr:col>
      <xdr:colOff>114300</xdr:colOff>
      <xdr:row>14</xdr:row>
      <xdr:rowOff>34290</xdr:rowOff>
    </xdr:to>
    <xdr:sp macro="" textlink="">
      <xdr:nvSpPr>
        <xdr:cNvPr id="271" name="Text Box 224">
          <a:extLst>
            <a:ext uri="{FF2B5EF4-FFF2-40B4-BE49-F238E27FC236}">
              <a16:creationId xmlns:a16="http://schemas.microsoft.com/office/drawing/2014/main" id="{00000000-0008-0000-0C00-00000F01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272" name="Text Box 226">
          <a:extLst>
            <a:ext uri="{FF2B5EF4-FFF2-40B4-BE49-F238E27FC236}">
              <a16:creationId xmlns:a16="http://schemas.microsoft.com/office/drawing/2014/main" id="{00000000-0008-0000-0C00-000010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273" name="Text Box 227">
          <a:extLst>
            <a:ext uri="{FF2B5EF4-FFF2-40B4-BE49-F238E27FC236}">
              <a16:creationId xmlns:a16="http://schemas.microsoft.com/office/drawing/2014/main" id="{00000000-0008-0000-0C00-000011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274" name="Text Box 228">
          <a:extLst>
            <a:ext uri="{FF2B5EF4-FFF2-40B4-BE49-F238E27FC236}">
              <a16:creationId xmlns:a16="http://schemas.microsoft.com/office/drawing/2014/main" id="{00000000-0008-0000-0C00-000012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275" name="Text Box 229">
          <a:extLst>
            <a:ext uri="{FF2B5EF4-FFF2-40B4-BE49-F238E27FC236}">
              <a16:creationId xmlns:a16="http://schemas.microsoft.com/office/drawing/2014/main" id="{00000000-0008-0000-0C00-000013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276" name="Text Box 230">
          <a:extLst>
            <a:ext uri="{FF2B5EF4-FFF2-40B4-BE49-F238E27FC236}">
              <a16:creationId xmlns:a16="http://schemas.microsoft.com/office/drawing/2014/main" id="{00000000-0008-0000-0C00-000014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277" name="Text Box 231">
          <a:extLst>
            <a:ext uri="{FF2B5EF4-FFF2-40B4-BE49-F238E27FC236}">
              <a16:creationId xmlns:a16="http://schemas.microsoft.com/office/drawing/2014/main" id="{00000000-0008-0000-0C00-000015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278" name="Text Box 232">
          <a:extLst>
            <a:ext uri="{FF2B5EF4-FFF2-40B4-BE49-F238E27FC236}">
              <a16:creationId xmlns:a16="http://schemas.microsoft.com/office/drawing/2014/main" id="{00000000-0008-0000-0C00-000016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279" name="Text Box 233">
          <a:extLst>
            <a:ext uri="{FF2B5EF4-FFF2-40B4-BE49-F238E27FC236}">
              <a16:creationId xmlns:a16="http://schemas.microsoft.com/office/drawing/2014/main" id="{00000000-0008-0000-0C00-000017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280" name="Text Box 234">
          <a:extLst>
            <a:ext uri="{FF2B5EF4-FFF2-40B4-BE49-F238E27FC236}">
              <a16:creationId xmlns:a16="http://schemas.microsoft.com/office/drawing/2014/main" id="{00000000-0008-0000-0C00-000018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xdr:from>
      <xdr:col>0</xdr:col>
      <xdr:colOff>0</xdr:colOff>
      <xdr:row>3</xdr:row>
      <xdr:rowOff>0</xdr:rowOff>
    </xdr:from>
    <xdr:to>
      <xdr:col>0</xdr:col>
      <xdr:colOff>638175</xdr:colOff>
      <xdr:row>3</xdr:row>
      <xdr:rowOff>0</xdr:rowOff>
    </xdr:to>
    <xdr:sp macro="" textlink="">
      <xdr:nvSpPr>
        <xdr:cNvPr id="281" name="Line 1">
          <a:extLst>
            <a:ext uri="{FF2B5EF4-FFF2-40B4-BE49-F238E27FC236}">
              <a16:creationId xmlns:a16="http://schemas.microsoft.com/office/drawing/2014/main" id="{00000000-0008-0000-0C00-000019010000}"/>
            </a:ext>
          </a:extLst>
        </xdr:cNvPr>
        <xdr:cNvSpPr>
          <a:spLocks noChangeShapeType="1"/>
        </xdr:cNvSpPr>
      </xdr:nvSpPr>
      <xdr:spPr bwMode="auto">
        <a:xfrm>
          <a:off x="0" y="485775"/>
          <a:ext cx="638175" cy="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0</xdr:col>
      <xdr:colOff>638175</xdr:colOff>
      <xdr:row>3</xdr:row>
      <xdr:rowOff>0</xdr:rowOff>
    </xdr:to>
    <xdr:sp macro="" textlink="">
      <xdr:nvSpPr>
        <xdr:cNvPr id="282" name="Line 2">
          <a:extLst>
            <a:ext uri="{FF2B5EF4-FFF2-40B4-BE49-F238E27FC236}">
              <a16:creationId xmlns:a16="http://schemas.microsoft.com/office/drawing/2014/main" id="{00000000-0008-0000-0C00-00001A010000}"/>
            </a:ext>
          </a:extLst>
        </xdr:cNvPr>
        <xdr:cNvSpPr>
          <a:spLocks noChangeShapeType="1"/>
        </xdr:cNvSpPr>
      </xdr:nvSpPr>
      <xdr:spPr bwMode="auto">
        <a:xfrm>
          <a:off x="0" y="485775"/>
          <a:ext cx="638175" cy="0"/>
        </a:xfrm>
        <a:prstGeom prst="line">
          <a:avLst/>
        </a:prstGeom>
        <a:noFill/>
        <a:ln w="9525">
          <a:solidFill>
            <a:srgbClr val="000000"/>
          </a:solidFill>
          <a:round/>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83" name="Text Box 134">
          <a:extLst>
            <a:ext uri="{FF2B5EF4-FFF2-40B4-BE49-F238E27FC236}">
              <a16:creationId xmlns:a16="http://schemas.microsoft.com/office/drawing/2014/main" id="{00000000-0008-0000-0C00-00001B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84" name="Text Box 135">
          <a:extLst>
            <a:ext uri="{FF2B5EF4-FFF2-40B4-BE49-F238E27FC236}">
              <a16:creationId xmlns:a16="http://schemas.microsoft.com/office/drawing/2014/main" id="{00000000-0008-0000-0C00-00001C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85" name="Text Box 142">
          <a:extLst>
            <a:ext uri="{FF2B5EF4-FFF2-40B4-BE49-F238E27FC236}">
              <a16:creationId xmlns:a16="http://schemas.microsoft.com/office/drawing/2014/main" id="{00000000-0008-0000-0C00-00001D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86" name="Text Box 143">
          <a:extLst>
            <a:ext uri="{FF2B5EF4-FFF2-40B4-BE49-F238E27FC236}">
              <a16:creationId xmlns:a16="http://schemas.microsoft.com/office/drawing/2014/main" id="{00000000-0008-0000-0C00-00001E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87" name="Text Box 144">
          <a:extLst>
            <a:ext uri="{FF2B5EF4-FFF2-40B4-BE49-F238E27FC236}">
              <a16:creationId xmlns:a16="http://schemas.microsoft.com/office/drawing/2014/main" id="{00000000-0008-0000-0C00-00001F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88" name="Text Box 145">
          <a:extLst>
            <a:ext uri="{FF2B5EF4-FFF2-40B4-BE49-F238E27FC236}">
              <a16:creationId xmlns:a16="http://schemas.microsoft.com/office/drawing/2014/main" id="{00000000-0008-0000-0C00-000020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89" name="Text Box 146">
          <a:extLst>
            <a:ext uri="{FF2B5EF4-FFF2-40B4-BE49-F238E27FC236}">
              <a16:creationId xmlns:a16="http://schemas.microsoft.com/office/drawing/2014/main" id="{00000000-0008-0000-0C00-000021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90" name="Text Box 147">
          <a:extLst>
            <a:ext uri="{FF2B5EF4-FFF2-40B4-BE49-F238E27FC236}">
              <a16:creationId xmlns:a16="http://schemas.microsoft.com/office/drawing/2014/main" id="{00000000-0008-0000-0C00-000022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1685925</xdr:colOff>
      <xdr:row>12</xdr:row>
      <xdr:rowOff>0</xdr:rowOff>
    </xdr:from>
    <xdr:to>
      <xdr:col>2</xdr:col>
      <xdr:colOff>114300</xdr:colOff>
      <xdr:row>14</xdr:row>
      <xdr:rowOff>33528</xdr:rowOff>
    </xdr:to>
    <xdr:sp macro="" textlink="">
      <xdr:nvSpPr>
        <xdr:cNvPr id="291" name="Text Box 136">
          <a:extLst>
            <a:ext uri="{FF2B5EF4-FFF2-40B4-BE49-F238E27FC236}">
              <a16:creationId xmlns:a16="http://schemas.microsoft.com/office/drawing/2014/main" id="{00000000-0008-0000-0C00-000023010000}"/>
            </a:ext>
          </a:extLst>
        </xdr:cNvPr>
        <xdr:cNvSpPr txBox="1">
          <a:spLocks noChangeArrowheads="1"/>
        </xdr:cNvSpPr>
      </xdr:nvSpPr>
      <xdr:spPr bwMode="auto">
        <a:xfrm>
          <a:off x="2400300" y="485775"/>
          <a:ext cx="114300" cy="33528"/>
        </a:xfrm>
        <a:prstGeom prst="rect">
          <a:avLst/>
        </a:prstGeom>
        <a:noFill/>
        <a:ln w="9525">
          <a:noFill/>
          <a:miter lim="800000"/>
          <a:headEnd/>
          <a:tailEnd/>
        </a:ln>
      </xdr:spPr>
    </xdr:sp>
    <xdr:clientData/>
  </xdr:twoCellAnchor>
  <xdr:twoCellAnchor editAs="oneCell">
    <xdr:from>
      <xdr:col>1</xdr:col>
      <xdr:colOff>1685925</xdr:colOff>
      <xdr:row>12</xdr:row>
      <xdr:rowOff>0</xdr:rowOff>
    </xdr:from>
    <xdr:to>
      <xdr:col>2</xdr:col>
      <xdr:colOff>114300</xdr:colOff>
      <xdr:row>14</xdr:row>
      <xdr:rowOff>33528</xdr:rowOff>
    </xdr:to>
    <xdr:sp macro="" textlink="">
      <xdr:nvSpPr>
        <xdr:cNvPr id="292" name="Text Box 137">
          <a:extLst>
            <a:ext uri="{FF2B5EF4-FFF2-40B4-BE49-F238E27FC236}">
              <a16:creationId xmlns:a16="http://schemas.microsoft.com/office/drawing/2014/main" id="{00000000-0008-0000-0C00-000024010000}"/>
            </a:ext>
          </a:extLst>
        </xdr:cNvPr>
        <xdr:cNvSpPr txBox="1">
          <a:spLocks noChangeArrowheads="1"/>
        </xdr:cNvSpPr>
      </xdr:nvSpPr>
      <xdr:spPr bwMode="auto">
        <a:xfrm>
          <a:off x="2400300" y="485775"/>
          <a:ext cx="114300"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293" name="Text Box 150">
          <a:extLst>
            <a:ext uri="{FF2B5EF4-FFF2-40B4-BE49-F238E27FC236}">
              <a16:creationId xmlns:a16="http://schemas.microsoft.com/office/drawing/2014/main" id="{00000000-0008-0000-0C00-00002501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294" name="Text Box 151">
          <a:extLst>
            <a:ext uri="{FF2B5EF4-FFF2-40B4-BE49-F238E27FC236}">
              <a16:creationId xmlns:a16="http://schemas.microsoft.com/office/drawing/2014/main" id="{00000000-0008-0000-0C00-00002601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295" name="Text Box 152">
          <a:extLst>
            <a:ext uri="{FF2B5EF4-FFF2-40B4-BE49-F238E27FC236}">
              <a16:creationId xmlns:a16="http://schemas.microsoft.com/office/drawing/2014/main" id="{00000000-0008-0000-0C00-00002701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296" name="Text Box 153">
          <a:extLst>
            <a:ext uri="{FF2B5EF4-FFF2-40B4-BE49-F238E27FC236}">
              <a16:creationId xmlns:a16="http://schemas.microsoft.com/office/drawing/2014/main" id="{00000000-0008-0000-0C00-00002801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97" name="Text Box 154">
          <a:extLst>
            <a:ext uri="{FF2B5EF4-FFF2-40B4-BE49-F238E27FC236}">
              <a16:creationId xmlns:a16="http://schemas.microsoft.com/office/drawing/2014/main" id="{00000000-0008-0000-0C00-000029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98" name="Text Box 155">
          <a:extLst>
            <a:ext uri="{FF2B5EF4-FFF2-40B4-BE49-F238E27FC236}">
              <a16:creationId xmlns:a16="http://schemas.microsoft.com/office/drawing/2014/main" id="{00000000-0008-0000-0C00-00002A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299" name="Text Box 156">
          <a:extLst>
            <a:ext uri="{FF2B5EF4-FFF2-40B4-BE49-F238E27FC236}">
              <a16:creationId xmlns:a16="http://schemas.microsoft.com/office/drawing/2014/main" id="{00000000-0008-0000-0C00-00002B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300" name="Text Box 157">
          <a:extLst>
            <a:ext uri="{FF2B5EF4-FFF2-40B4-BE49-F238E27FC236}">
              <a16:creationId xmlns:a16="http://schemas.microsoft.com/office/drawing/2014/main" id="{00000000-0008-0000-0C00-00002C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01" name="Text Box 159">
          <a:extLst>
            <a:ext uri="{FF2B5EF4-FFF2-40B4-BE49-F238E27FC236}">
              <a16:creationId xmlns:a16="http://schemas.microsoft.com/office/drawing/2014/main" id="{00000000-0008-0000-0C00-00002D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02" name="Text Box 160">
          <a:extLst>
            <a:ext uri="{FF2B5EF4-FFF2-40B4-BE49-F238E27FC236}">
              <a16:creationId xmlns:a16="http://schemas.microsoft.com/office/drawing/2014/main" id="{00000000-0008-0000-0C00-00002E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03" name="Text Box 161">
          <a:extLst>
            <a:ext uri="{FF2B5EF4-FFF2-40B4-BE49-F238E27FC236}">
              <a16:creationId xmlns:a16="http://schemas.microsoft.com/office/drawing/2014/main" id="{00000000-0008-0000-0C00-00002F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04" name="Text Box 162">
          <a:extLst>
            <a:ext uri="{FF2B5EF4-FFF2-40B4-BE49-F238E27FC236}">
              <a16:creationId xmlns:a16="http://schemas.microsoft.com/office/drawing/2014/main" id="{00000000-0008-0000-0C00-000030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05" name="Text Box 163">
          <a:extLst>
            <a:ext uri="{FF2B5EF4-FFF2-40B4-BE49-F238E27FC236}">
              <a16:creationId xmlns:a16="http://schemas.microsoft.com/office/drawing/2014/main" id="{00000000-0008-0000-0C00-000031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06" name="Text Box 164">
          <a:extLst>
            <a:ext uri="{FF2B5EF4-FFF2-40B4-BE49-F238E27FC236}">
              <a16:creationId xmlns:a16="http://schemas.microsoft.com/office/drawing/2014/main" id="{00000000-0008-0000-0C00-000032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07" name="Text Box 165">
          <a:extLst>
            <a:ext uri="{FF2B5EF4-FFF2-40B4-BE49-F238E27FC236}">
              <a16:creationId xmlns:a16="http://schemas.microsoft.com/office/drawing/2014/main" id="{00000000-0008-0000-0C00-000033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08" name="Text Box 166">
          <a:extLst>
            <a:ext uri="{FF2B5EF4-FFF2-40B4-BE49-F238E27FC236}">
              <a16:creationId xmlns:a16="http://schemas.microsoft.com/office/drawing/2014/main" id="{00000000-0008-0000-0C00-000034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1685925</xdr:colOff>
      <xdr:row>12</xdr:row>
      <xdr:rowOff>0</xdr:rowOff>
    </xdr:from>
    <xdr:to>
      <xdr:col>3</xdr:col>
      <xdr:colOff>114300</xdr:colOff>
      <xdr:row>14</xdr:row>
      <xdr:rowOff>33528</xdr:rowOff>
    </xdr:to>
    <xdr:sp macro="" textlink="">
      <xdr:nvSpPr>
        <xdr:cNvPr id="309" name="Text Box 167">
          <a:extLst>
            <a:ext uri="{FF2B5EF4-FFF2-40B4-BE49-F238E27FC236}">
              <a16:creationId xmlns:a16="http://schemas.microsoft.com/office/drawing/2014/main" id="{00000000-0008-0000-0C00-000035010000}"/>
            </a:ext>
          </a:extLst>
        </xdr:cNvPr>
        <xdr:cNvSpPr txBox="1">
          <a:spLocks noChangeArrowheads="1"/>
        </xdr:cNvSpPr>
      </xdr:nvSpPr>
      <xdr:spPr bwMode="auto">
        <a:xfrm>
          <a:off x="2819400" y="485775"/>
          <a:ext cx="114300" cy="33528"/>
        </a:xfrm>
        <a:prstGeom prst="rect">
          <a:avLst/>
        </a:prstGeom>
        <a:noFill/>
        <a:ln w="9525">
          <a:noFill/>
          <a:miter lim="800000"/>
          <a:headEnd/>
          <a:tailEnd/>
        </a:ln>
      </xdr:spPr>
    </xdr:sp>
    <xdr:clientData/>
  </xdr:twoCellAnchor>
  <xdr:twoCellAnchor editAs="oneCell">
    <xdr:from>
      <xdr:col>2</xdr:col>
      <xdr:colOff>1685925</xdr:colOff>
      <xdr:row>12</xdr:row>
      <xdr:rowOff>0</xdr:rowOff>
    </xdr:from>
    <xdr:to>
      <xdr:col>3</xdr:col>
      <xdr:colOff>114300</xdr:colOff>
      <xdr:row>14</xdr:row>
      <xdr:rowOff>33528</xdr:rowOff>
    </xdr:to>
    <xdr:sp macro="" textlink="">
      <xdr:nvSpPr>
        <xdr:cNvPr id="310" name="Text Box 168">
          <a:extLst>
            <a:ext uri="{FF2B5EF4-FFF2-40B4-BE49-F238E27FC236}">
              <a16:creationId xmlns:a16="http://schemas.microsoft.com/office/drawing/2014/main" id="{00000000-0008-0000-0C00-000036010000}"/>
            </a:ext>
          </a:extLst>
        </xdr:cNvPr>
        <xdr:cNvSpPr txBox="1">
          <a:spLocks noChangeArrowheads="1"/>
        </xdr:cNvSpPr>
      </xdr:nvSpPr>
      <xdr:spPr bwMode="auto">
        <a:xfrm>
          <a:off x="2819400" y="485775"/>
          <a:ext cx="114300"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311" name="Text Box 169">
          <a:extLst>
            <a:ext uri="{FF2B5EF4-FFF2-40B4-BE49-F238E27FC236}">
              <a16:creationId xmlns:a16="http://schemas.microsoft.com/office/drawing/2014/main" id="{00000000-0008-0000-0C00-00003701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312" name="Text Box 170">
          <a:extLst>
            <a:ext uri="{FF2B5EF4-FFF2-40B4-BE49-F238E27FC236}">
              <a16:creationId xmlns:a16="http://schemas.microsoft.com/office/drawing/2014/main" id="{00000000-0008-0000-0C00-00003801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313" name="Text Box 171">
          <a:extLst>
            <a:ext uri="{FF2B5EF4-FFF2-40B4-BE49-F238E27FC236}">
              <a16:creationId xmlns:a16="http://schemas.microsoft.com/office/drawing/2014/main" id="{00000000-0008-0000-0C00-00003901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314" name="Text Box 172">
          <a:extLst>
            <a:ext uri="{FF2B5EF4-FFF2-40B4-BE49-F238E27FC236}">
              <a16:creationId xmlns:a16="http://schemas.microsoft.com/office/drawing/2014/main" id="{00000000-0008-0000-0C00-00003A01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15" name="Text Box 173">
          <a:extLst>
            <a:ext uri="{FF2B5EF4-FFF2-40B4-BE49-F238E27FC236}">
              <a16:creationId xmlns:a16="http://schemas.microsoft.com/office/drawing/2014/main" id="{00000000-0008-0000-0C00-00003B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16" name="Text Box 174">
          <a:extLst>
            <a:ext uri="{FF2B5EF4-FFF2-40B4-BE49-F238E27FC236}">
              <a16:creationId xmlns:a16="http://schemas.microsoft.com/office/drawing/2014/main" id="{00000000-0008-0000-0C00-00003C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17" name="Text Box 175">
          <a:extLst>
            <a:ext uri="{FF2B5EF4-FFF2-40B4-BE49-F238E27FC236}">
              <a16:creationId xmlns:a16="http://schemas.microsoft.com/office/drawing/2014/main" id="{00000000-0008-0000-0C00-00003D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18" name="Text Box 176">
          <a:extLst>
            <a:ext uri="{FF2B5EF4-FFF2-40B4-BE49-F238E27FC236}">
              <a16:creationId xmlns:a16="http://schemas.microsoft.com/office/drawing/2014/main" id="{00000000-0008-0000-0C00-00003E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319" name="Text Box 178">
          <a:extLst>
            <a:ext uri="{FF2B5EF4-FFF2-40B4-BE49-F238E27FC236}">
              <a16:creationId xmlns:a16="http://schemas.microsoft.com/office/drawing/2014/main" id="{00000000-0008-0000-0C00-00003F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320" name="Text Box 179">
          <a:extLst>
            <a:ext uri="{FF2B5EF4-FFF2-40B4-BE49-F238E27FC236}">
              <a16:creationId xmlns:a16="http://schemas.microsoft.com/office/drawing/2014/main" id="{00000000-0008-0000-0C00-000040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321" name="Text Box 180">
          <a:extLst>
            <a:ext uri="{FF2B5EF4-FFF2-40B4-BE49-F238E27FC236}">
              <a16:creationId xmlns:a16="http://schemas.microsoft.com/office/drawing/2014/main" id="{00000000-0008-0000-0C00-000041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322" name="Text Box 181">
          <a:extLst>
            <a:ext uri="{FF2B5EF4-FFF2-40B4-BE49-F238E27FC236}">
              <a16:creationId xmlns:a16="http://schemas.microsoft.com/office/drawing/2014/main" id="{00000000-0008-0000-0C00-000042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323" name="Text Box 182">
          <a:extLst>
            <a:ext uri="{FF2B5EF4-FFF2-40B4-BE49-F238E27FC236}">
              <a16:creationId xmlns:a16="http://schemas.microsoft.com/office/drawing/2014/main" id="{00000000-0008-0000-0C00-000043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324" name="Text Box 183">
          <a:extLst>
            <a:ext uri="{FF2B5EF4-FFF2-40B4-BE49-F238E27FC236}">
              <a16:creationId xmlns:a16="http://schemas.microsoft.com/office/drawing/2014/main" id="{00000000-0008-0000-0C00-000044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325" name="Text Box 184">
          <a:extLst>
            <a:ext uri="{FF2B5EF4-FFF2-40B4-BE49-F238E27FC236}">
              <a16:creationId xmlns:a16="http://schemas.microsoft.com/office/drawing/2014/main" id="{00000000-0008-0000-0C00-000045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326" name="Text Box 185">
          <a:extLst>
            <a:ext uri="{FF2B5EF4-FFF2-40B4-BE49-F238E27FC236}">
              <a16:creationId xmlns:a16="http://schemas.microsoft.com/office/drawing/2014/main" id="{00000000-0008-0000-0C00-000046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1685925</xdr:colOff>
      <xdr:row>12</xdr:row>
      <xdr:rowOff>0</xdr:rowOff>
    </xdr:from>
    <xdr:to>
      <xdr:col>4</xdr:col>
      <xdr:colOff>114300</xdr:colOff>
      <xdr:row>14</xdr:row>
      <xdr:rowOff>33528</xdr:rowOff>
    </xdr:to>
    <xdr:sp macro="" textlink="">
      <xdr:nvSpPr>
        <xdr:cNvPr id="327" name="Text Box 186">
          <a:extLst>
            <a:ext uri="{FF2B5EF4-FFF2-40B4-BE49-F238E27FC236}">
              <a16:creationId xmlns:a16="http://schemas.microsoft.com/office/drawing/2014/main" id="{00000000-0008-0000-0C00-000047010000}"/>
            </a:ext>
          </a:extLst>
        </xdr:cNvPr>
        <xdr:cNvSpPr txBox="1">
          <a:spLocks noChangeArrowheads="1"/>
        </xdr:cNvSpPr>
      </xdr:nvSpPr>
      <xdr:spPr bwMode="auto">
        <a:xfrm>
          <a:off x="3238500" y="485775"/>
          <a:ext cx="114300" cy="33528"/>
        </a:xfrm>
        <a:prstGeom prst="rect">
          <a:avLst/>
        </a:prstGeom>
        <a:noFill/>
        <a:ln w="9525">
          <a:noFill/>
          <a:miter lim="800000"/>
          <a:headEnd/>
          <a:tailEnd/>
        </a:ln>
      </xdr:spPr>
    </xdr:sp>
    <xdr:clientData/>
  </xdr:twoCellAnchor>
  <xdr:twoCellAnchor editAs="oneCell">
    <xdr:from>
      <xdr:col>3</xdr:col>
      <xdr:colOff>1685925</xdr:colOff>
      <xdr:row>12</xdr:row>
      <xdr:rowOff>0</xdr:rowOff>
    </xdr:from>
    <xdr:to>
      <xdr:col>4</xdr:col>
      <xdr:colOff>114300</xdr:colOff>
      <xdr:row>14</xdr:row>
      <xdr:rowOff>33528</xdr:rowOff>
    </xdr:to>
    <xdr:sp macro="" textlink="">
      <xdr:nvSpPr>
        <xdr:cNvPr id="328" name="Text Box 187">
          <a:extLst>
            <a:ext uri="{FF2B5EF4-FFF2-40B4-BE49-F238E27FC236}">
              <a16:creationId xmlns:a16="http://schemas.microsoft.com/office/drawing/2014/main" id="{00000000-0008-0000-0C00-000048010000}"/>
            </a:ext>
          </a:extLst>
        </xdr:cNvPr>
        <xdr:cNvSpPr txBox="1">
          <a:spLocks noChangeArrowheads="1"/>
        </xdr:cNvSpPr>
      </xdr:nvSpPr>
      <xdr:spPr bwMode="auto">
        <a:xfrm>
          <a:off x="3238500" y="485775"/>
          <a:ext cx="114300"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329" name="Text Box 188">
          <a:extLst>
            <a:ext uri="{FF2B5EF4-FFF2-40B4-BE49-F238E27FC236}">
              <a16:creationId xmlns:a16="http://schemas.microsoft.com/office/drawing/2014/main" id="{00000000-0008-0000-0C00-00004901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330" name="Text Box 189">
          <a:extLst>
            <a:ext uri="{FF2B5EF4-FFF2-40B4-BE49-F238E27FC236}">
              <a16:creationId xmlns:a16="http://schemas.microsoft.com/office/drawing/2014/main" id="{00000000-0008-0000-0C00-00004A01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331" name="Text Box 190">
          <a:extLst>
            <a:ext uri="{FF2B5EF4-FFF2-40B4-BE49-F238E27FC236}">
              <a16:creationId xmlns:a16="http://schemas.microsoft.com/office/drawing/2014/main" id="{00000000-0008-0000-0C00-00004B01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332" name="Text Box 191">
          <a:extLst>
            <a:ext uri="{FF2B5EF4-FFF2-40B4-BE49-F238E27FC236}">
              <a16:creationId xmlns:a16="http://schemas.microsoft.com/office/drawing/2014/main" id="{00000000-0008-0000-0C00-00004C01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333" name="Text Box 192">
          <a:extLst>
            <a:ext uri="{FF2B5EF4-FFF2-40B4-BE49-F238E27FC236}">
              <a16:creationId xmlns:a16="http://schemas.microsoft.com/office/drawing/2014/main" id="{00000000-0008-0000-0C00-00004D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334" name="Text Box 193">
          <a:extLst>
            <a:ext uri="{FF2B5EF4-FFF2-40B4-BE49-F238E27FC236}">
              <a16:creationId xmlns:a16="http://schemas.microsoft.com/office/drawing/2014/main" id="{00000000-0008-0000-0C00-00004E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335" name="Text Box 194">
          <a:extLst>
            <a:ext uri="{FF2B5EF4-FFF2-40B4-BE49-F238E27FC236}">
              <a16:creationId xmlns:a16="http://schemas.microsoft.com/office/drawing/2014/main" id="{00000000-0008-0000-0C00-00004F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336" name="Text Box 195">
          <a:extLst>
            <a:ext uri="{FF2B5EF4-FFF2-40B4-BE49-F238E27FC236}">
              <a16:creationId xmlns:a16="http://schemas.microsoft.com/office/drawing/2014/main" id="{00000000-0008-0000-0C00-000050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337" name="Text Box 196">
          <a:extLst>
            <a:ext uri="{FF2B5EF4-FFF2-40B4-BE49-F238E27FC236}">
              <a16:creationId xmlns:a16="http://schemas.microsoft.com/office/drawing/2014/main" id="{00000000-0008-0000-0C00-000051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338" name="Text Box 197">
          <a:extLst>
            <a:ext uri="{FF2B5EF4-FFF2-40B4-BE49-F238E27FC236}">
              <a16:creationId xmlns:a16="http://schemas.microsoft.com/office/drawing/2014/main" id="{00000000-0008-0000-0C00-000052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339" name="Text Box 198">
          <a:extLst>
            <a:ext uri="{FF2B5EF4-FFF2-40B4-BE49-F238E27FC236}">
              <a16:creationId xmlns:a16="http://schemas.microsoft.com/office/drawing/2014/main" id="{00000000-0008-0000-0C00-000053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340" name="Text Box 199">
          <a:extLst>
            <a:ext uri="{FF2B5EF4-FFF2-40B4-BE49-F238E27FC236}">
              <a16:creationId xmlns:a16="http://schemas.microsoft.com/office/drawing/2014/main" id="{00000000-0008-0000-0C00-000054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341" name="Text Box 200">
          <a:extLst>
            <a:ext uri="{FF2B5EF4-FFF2-40B4-BE49-F238E27FC236}">
              <a16:creationId xmlns:a16="http://schemas.microsoft.com/office/drawing/2014/main" id="{00000000-0008-0000-0C00-000055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342" name="Text Box 201">
          <a:extLst>
            <a:ext uri="{FF2B5EF4-FFF2-40B4-BE49-F238E27FC236}">
              <a16:creationId xmlns:a16="http://schemas.microsoft.com/office/drawing/2014/main" id="{00000000-0008-0000-0C00-000056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343" name="Text Box 202">
          <a:extLst>
            <a:ext uri="{FF2B5EF4-FFF2-40B4-BE49-F238E27FC236}">
              <a16:creationId xmlns:a16="http://schemas.microsoft.com/office/drawing/2014/main" id="{00000000-0008-0000-0C00-000057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344" name="Text Box 203">
          <a:extLst>
            <a:ext uri="{FF2B5EF4-FFF2-40B4-BE49-F238E27FC236}">
              <a16:creationId xmlns:a16="http://schemas.microsoft.com/office/drawing/2014/main" id="{00000000-0008-0000-0C00-000058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345" name="Text Box 204">
          <a:extLst>
            <a:ext uri="{FF2B5EF4-FFF2-40B4-BE49-F238E27FC236}">
              <a16:creationId xmlns:a16="http://schemas.microsoft.com/office/drawing/2014/main" id="{00000000-0008-0000-0C00-000059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1685925</xdr:colOff>
      <xdr:row>13</xdr:row>
      <xdr:rowOff>0</xdr:rowOff>
    </xdr:from>
    <xdr:to>
      <xdr:col>4</xdr:col>
      <xdr:colOff>114300</xdr:colOff>
      <xdr:row>14</xdr:row>
      <xdr:rowOff>34290</xdr:rowOff>
    </xdr:to>
    <xdr:sp macro="" textlink="">
      <xdr:nvSpPr>
        <xdr:cNvPr id="346" name="Text Box 205">
          <a:extLst>
            <a:ext uri="{FF2B5EF4-FFF2-40B4-BE49-F238E27FC236}">
              <a16:creationId xmlns:a16="http://schemas.microsoft.com/office/drawing/2014/main" id="{00000000-0008-0000-0C00-00005A01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1685925</xdr:colOff>
      <xdr:row>13</xdr:row>
      <xdr:rowOff>0</xdr:rowOff>
    </xdr:from>
    <xdr:to>
      <xdr:col>4</xdr:col>
      <xdr:colOff>114300</xdr:colOff>
      <xdr:row>14</xdr:row>
      <xdr:rowOff>34290</xdr:rowOff>
    </xdr:to>
    <xdr:sp macro="" textlink="">
      <xdr:nvSpPr>
        <xdr:cNvPr id="347" name="Text Box 206">
          <a:extLst>
            <a:ext uri="{FF2B5EF4-FFF2-40B4-BE49-F238E27FC236}">
              <a16:creationId xmlns:a16="http://schemas.microsoft.com/office/drawing/2014/main" id="{00000000-0008-0000-0C00-00005B01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348" name="Text Box 207">
          <a:extLst>
            <a:ext uri="{FF2B5EF4-FFF2-40B4-BE49-F238E27FC236}">
              <a16:creationId xmlns:a16="http://schemas.microsoft.com/office/drawing/2014/main" id="{00000000-0008-0000-0C00-00005C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349" name="Text Box 208">
          <a:extLst>
            <a:ext uri="{FF2B5EF4-FFF2-40B4-BE49-F238E27FC236}">
              <a16:creationId xmlns:a16="http://schemas.microsoft.com/office/drawing/2014/main" id="{00000000-0008-0000-0C00-00005D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350" name="Text Box 209">
          <a:extLst>
            <a:ext uri="{FF2B5EF4-FFF2-40B4-BE49-F238E27FC236}">
              <a16:creationId xmlns:a16="http://schemas.microsoft.com/office/drawing/2014/main" id="{00000000-0008-0000-0C00-00005E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351" name="Text Box 210">
          <a:extLst>
            <a:ext uri="{FF2B5EF4-FFF2-40B4-BE49-F238E27FC236}">
              <a16:creationId xmlns:a16="http://schemas.microsoft.com/office/drawing/2014/main" id="{00000000-0008-0000-0C00-00005F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352" name="Text Box 211">
          <a:extLst>
            <a:ext uri="{FF2B5EF4-FFF2-40B4-BE49-F238E27FC236}">
              <a16:creationId xmlns:a16="http://schemas.microsoft.com/office/drawing/2014/main" id="{00000000-0008-0000-0C00-000060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353" name="Text Box 212">
          <a:extLst>
            <a:ext uri="{FF2B5EF4-FFF2-40B4-BE49-F238E27FC236}">
              <a16:creationId xmlns:a16="http://schemas.microsoft.com/office/drawing/2014/main" id="{00000000-0008-0000-0C00-000061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354" name="Text Box 213">
          <a:extLst>
            <a:ext uri="{FF2B5EF4-FFF2-40B4-BE49-F238E27FC236}">
              <a16:creationId xmlns:a16="http://schemas.microsoft.com/office/drawing/2014/main" id="{00000000-0008-0000-0C00-000062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355" name="Text Box 214">
          <a:extLst>
            <a:ext uri="{FF2B5EF4-FFF2-40B4-BE49-F238E27FC236}">
              <a16:creationId xmlns:a16="http://schemas.microsoft.com/office/drawing/2014/main" id="{00000000-0008-0000-0C00-000063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356" name="Text Box 216">
          <a:extLst>
            <a:ext uri="{FF2B5EF4-FFF2-40B4-BE49-F238E27FC236}">
              <a16:creationId xmlns:a16="http://schemas.microsoft.com/office/drawing/2014/main" id="{00000000-0008-0000-0C00-000064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357" name="Text Box 217">
          <a:extLst>
            <a:ext uri="{FF2B5EF4-FFF2-40B4-BE49-F238E27FC236}">
              <a16:creationId xmlns:a16="http://schemas.microsoft.com/office/drawing/2014/main" id="{00000000-0008-0000-0C00-000065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358" name="Text Box 218">
          <a:extLst>
            <a:ext uri="{FF2B5EF4-FFF2-40B4-BE49-F238E27FC236}">
              <a16:creationId xmlns:a16="http://schemas.microsoft.com/office/drawing/2014/main" id="{00000000-0008-0000-0C00-000066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359" name="Text Box 219">
          <a:extLst>
            <a:ext uri="{FF2B5EF4-FFF2-40B4-BE49-F238E27FC236}">
              <a16:creationId xmlns:a16="http://schemas.microsoft.com/office/drawing/2014/main" id="{00000000-0008-0000-0C00-000067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360" name="Text Box 220">
          <a:extLst>
            <a:ext uri="{FF2B5EF4-FFF2-40B4-BE49-F238E27FC236}">
              <a16:creationId xmlns:a16="http://schemas.microsoft.com/office/drawing/2014/main" id="{00000000-0008-0000-0C00-000068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361" name="Text Box 221">
          <a:extLst>
            <a:ext uri="{FF2B5EF4-FFF2-40B4-BE49-F238E27FC236}">
              <a16:creationId xmlns:a16="http://schemas.microsoft.com/office/drawing/2014/main" id="{00000000-0008-0000-0C00-000069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362" name="Text Box 222">
          <a:extLst>
            <a:ext uri="{FF2B5EF4-FFF2-40B4-BE49-F238E27FC236}">
              <a16:creationId xmlns:a16="http://schemas.microsoft.com/office/drawing/2014/main" id="{00000000-0008-0000-0C00-00006A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363" name="Text Box 223">
          <a:extLst>
            <a:ext uri="{FF2B5EF4-FFF2-40B4-BE49-F238E27FC236}">
              <a16:creationId xmlns:a16="http://schemas.microsoft.com/office/drawing/2014/main" id="{00000000-0008-0000-0C00-00006B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1685925</xdr:colOff>
      <xdr:row>14</xdr:row>
      <xdr:rowOff>0</xdr:rowOff>
    </xdr:from>
    <xdr:to>
      <xdr:col>4</xdr:col>
      <xdr:colOff>114300</xdr:colOff>
      <xdr:row>14</xdr:row>
      <xdr:rowOff>34290</xdr:rowOff>
    </xdr:to>
    <xdr:sp macro="" textlink="">
      <xdr:nvSpPr>
        <xdr:cNvPr id="364" name="Text Box 224">
          <a:extLst>
            <a:ext uri="{FF2B5EF4-FFF2-40B4-BE49-F238E27FC236}">
              <a16:creationId xmlns:a16="http://schemas.microsoft.com/office/drawing/2014/main" id="{00000000-0008-0000-0C00-00006C01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365" name="Text Box 226">
          <a:extLst>
            <a:ext uri="{FF2B5EF4-FFF2-40B4-BE49-F238E27FC236}">
              <a16:creationId xmlns:a16="http://schemas.microsoft.com/office/drawing/2014/main" id="{00000000-0008-0000-0C00-00006D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366" name="Text Box 227">
          <a:extLst>
            <a:ext uri="{FF2B5EF4-FFF2-40B4-BE49-F238E27FC236}">
              <a16:creationId xmlns:a16="http://schemas.microsoft.com/office/drawing/2014/main" id="{00000000-0008-0000-0C00-00006E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367" name="Text Box 228">
          <a:extLst>
            <a:ext uri="{FF2B5EF4-FFF2-40B4-BE49-F238E27FC236}">
              <a16:creationId xmlns:a16="http://schemas.microsoft.com/office/drawing/2014/main" id="{00000000-0008-0000-0C00-00006F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368" name="Text Box 229">
          <a:extLst>
            <a:ext uri="{FF2B5EF4-FFF2-40B4-BE49-F238E27FC236}">
              <a16:creationId xmlns:a16="http://schemas.microsoft.com/office/drawing/2014/main" id="{00000000-0008-0000-0C00-000070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369" name="Text Box 230">
          <a:extLst>
            <a:ext uri="{FF2B5EF4-FFF2-40B4-BE49-F238E27FC236}">
              <a16:creationId xmlns:a16="http://schemas.microsoft.com/office/drawing/2014/main" id="{00000000-0008-0000-0C00-000071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370" name="Text Box 231">
          <a:extLst>
            <a:ext uri="{FF2B5EF4-FFF2-40B4-BE49-F238E27FC236}">
              <a16:creationId xmlns:a16="http://schemas.microsoft.com/office/drawing/2014/main" id="{00000000-0008-0000-0C00-000072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371" name="Text Box 232">
          <a:extLst>
            <a:ext uri="{FF2B5EF4-FFF2-40B4-BE49-F238E27FC236}">
              <a16:creationId xmlns:a16="http://schemas.microsoft.com/office/drawing/2014/main" id="{00000000-0008-0000-0C00-000073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372" name="Text Box 233">
          <a:extLst>
            <a:ext uri="{FF2B5EF4-FFF2-40B4-BE49-F238E27FC236}">
              <a16:creationId xmlns:a16="http://schemas.microsoft.com/office/drawing/2014/main" id="{00000000-0008-0000-0C00-000074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373" name="Text Box 234">
          <a:extLst>
            <a:ext uri="{FF2B5EF4-FFF2-40B4-BE49-F238E27FC236}">
              <a16:creationId xmlns:a16="http://schemas.microsoft.com/office/drawing/2014/main" id="{00000000-0008-0000-0C00-000075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xdr:from>
      <xdr:col>0</xdr:col>
      <xdr:colOff>0</xdr:colOff>
      <xdr:row>3</xdr:row>
      <xdr:rowOff>0</xdr:rowOff>
    </xdr:from>
    <xdr:to>
      <xdr:col>0</xdr:col>
      <xdr:colOff>638175</xdr:colOff>
      <xdr:row>3</xdr:row>
      <xdr:rowOff>0</xdr:rowOff>
    </xdr:to>
    <xdr:sp macro="" textlink="">
      <xdr:nvSpPr>
        <xdr:cNvPr id="374" name="Line 1">
          <a:extLst>
            <a:ext uri="{FF2B5EF4-FFF2-40B4-BE49-F238E27FC236}">
              <a16:creationId xmlns:a16="http://schemas.microsoft.com/office/drawing/2014/main" id="{00000000-0008-0000-0C00-000076010000}"/>
            </a:ext>
          </a:extLst>
        </xdr:cNvPr>
        <xdr:cNvSpPr>
          <a:spLocks noChangeShapeType="1"/>
        </xdr:cNvSpPr>
      </xdr:nvSpPr>
      <xdr:spPr bwMode="auto">
        <a:xfrm>
          <a:off x="0" y="485775"/>
          <a:ext cx="638175" cy="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0</xdr:col>
      <xdr:colOff>638175</xdr:colOff>
      <xdr:row>3</xdr:row>
      <xdr:rowOff>0</xdr:rowOff>
    </xdr:to>
    <xdr:sp macro="" textlink="">
      <xdr:nvSpPr>
        <xdr:cNvPr id="375" name="Line 2">
          <a:extLst>
            <a:ext uri="{FF2B5EF4-FFF2-40B4-BE49-F238E27FC236}">
              <a16:creationId xmlns:a16="http://schemas.microsoft.com/office/drawing/2014/main" id="{00000000-0008-0000-0C00-000077010000}"/>
            </a:ext>
          </a:extLst>
        </xdr:cNvPr>
        <xdr:cNvSpPr>
          <a:spLocks noChangeShapeType="1"/>
        </xdr:cNvSpPr>
      </xdr:nvSpPr>
      <xdr:spPr bwMode="auto">
        <a:xfrm>
          <a:off x="0" y="485775"/>
          <a:ext cx="638175" cy="0"/>
        </a:xfrm>
        <a:prstGeom prst="line">
          <a:avLst/>
        </a:prstGeom>
        <a:noFill/>
        <a:ln w="9525">
          <a:solidFill>
            <a:srgbClr val="000000"/>
          </a:solidFill>
          <a:round/>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376" name="Text Box 134">
          <a:extLst>
            <a:ext uri="{FF2B5EF4-FFF2-40B4-BE49-F238E27FC236}">
              <a16:creationId xmlns:a16="http://schemas.microsoft.com/office/drawing/2014/main" id="{00000000-0008-0000-0C00-000078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377" name="Text Box 135">
          <a:extLst>
            <a:ext uri="{FF2B5EF4-FFF2-40B4-BE49-F238E27FC236}">
              <a16:creationId xmlns:a16="http://schemas.microsoft.com/office/drawing/2014/main" id="{00000000-0008-0000-0C00-000079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378" name="Text Box 142">
          <a:extLst>
            <a:ext uri="{FF2B5EF4-FFF2-40B4-BE49-F238E27FC236}">
              <a16:creationId xmlns:a16="http://schemas.microsoft.com/office/drawing/2014/main" id="{00000000-0008-0000-0C00-00007A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379" name="Text Box 143">
          <a:extLst>
            <a:ext uri="{FF2B5EF4-FFF2-40B4-BE49-F238E27FC236}">
              <a16:creationId xmlns:a16="http://schemas.microsoft.com/office/drawing/2014/main" id="{00000000-0008-0000-0C00-00007B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380" name="Text Box 144">
          <a:extLst>
            <a:ext uri="{FF2B5EF4-FFF2-40B4-BE49-F238E27FC236}">
              <a16:creationId xmlns:a16="http://schemas.microsoft.com/office/drawing/2014/main" id="{00000000-0008-0000-0C00-00007C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381" name="Text Box 145">
          <a:extLst>
            <a:ext uri="{FF2B5EF4-FFF2-40B4-BE49-F238E27FC236}">
              <a16:creationId xmlns:a16="http://schemas.microsoft.com/office/drawing/2014/main" id="{00000000-0008-0000-0C00-00007D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382" name="Text Box 146">
          <a:extLst>
            <a:ext uri="{FF2B5EF4-FFF2-40B4-BE49-F238E27FC236}">
              <a16:creationId xmlns:a16="http://schemas.microsoft.com/office/drawing/2014/main" id="{00000000-0008-0000-0C00-00007E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383" name="Text Box 147">
          <a:extLst>
            <a:ext uri="{FF2B5EF4-FFF2-40B4-BE49-F238E27FC236}">
              <a16:creationId xmlns:a16="http://schemas.microsoft.com/office/drawing/2014/main" id="{00000000-0008-0000-0C00-00007F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1685925</xdr:colOff>
      <xdr:row>12</xdr:row>
      <xdr:rowOff>0</xdr:rowOff>
    </xdr:from>
    <xdr:to>
      <xdr:col>2</xdr:col>
      <xdr:colOff>114300</xdr:colOff>
      <xdr:row>14</xdr:row>
      <xdr:rowOff>33528</xdr:rowOff>
    </xdr:to>
    <xdr:sp macro="" textlink="">
      <xdr:nvSpPr>
        <xdr:cNvPr id="384" name="Text Box 136">
          <a:extLst>
            <a:ext uri="{FF2B5EF4-FFF2-40B4-BE49-F238E27FC236}">
              <a16:creationId xmlns:a16="http://schemas.microsoft.com/office/drawing/2014/main" id="{00000000-0008-0000-0C00-000080010000}"/>
            </a:ext>
          </a:extLst>
        </xdr:cNvPr>
        <xdr:cNvSpPr txBox="1">
          <a:spLocks noChangeArrowheads="1"/>
        </xdr:cNvSpPr>
      </xdr:nvSpPr>
      <xdr:spPr bwMode="auto">
        <a:xfrm>
          <a:off x="2400300" y="485775"/>
          <a:ext cx="114300" cy="33528"/>
        </a:xfrm>
        <a:prstGeom prst="rect">
          <a:avLst/>
        </a:prstGeom>
        <a:noFill/>
        <a:ln w="9525">
          <a:noFill/>
          <a:miter lim="800000"/>
          <a:headEnd/>
          <a:tailEnd/>
        </a:ln>
      </xdr:spPr>
    </xdr:sp>
    <xdr:clientData/>
  </xdr:twoCellAnchor>
  <xdr:twoCellAnchor editAs="oneCell">
    <xdr:from>
      <xdr:col>1</xdr:col>
      <xdr:colOff>1685925</xdr:colOff>
      <xdr:row>12</xdr:row>
      <xdr:rowOff>0</xdr:rowOff>
    </xdr:from>
    <xdr:to>
      <xdr:col>2</xdr:col>
      <xdr:colOff>114300</xdr:colOff>
      <xdr:row>14</xdr:row>
      <xdr:rowOff>33528</xdr:rowOff>
    </xdr:to>
    <xdr:sp macro="" textlink="">
      <xdr:nvSpPr>
        <xdr:cNvPr id="385" name="Text Box 137">
          <a:extLst>
            <a:ext uri="{FF2B5EF4-FFF2-40B4-BE49-F238E27FC236}">
              <a16:creationId xmlns:a16="http://schemas.microsoft.com/office/drawing/2014/main" id="{00000000-0008-0000-0C00-000081010000}"/>
            </a:ext>
          </a:extLst>
        </xdr:cNvPr>
        <xdr:cNvSpPr txBox="1">
          <a:spLocks noChangeArrowheads="1"/>
        </xdr:cNvSpPr>
      </xdr:nvSpPr>
      <xdr:spPr bwMode="auto">
        <a:xfrm>
          <a:off x="2400300" y="485775"/>
          <a:ext cx="114300"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386" name="Text Box 150">
          <a:extLst>
            <a:ext uri="{FF2B5EF4-FFF2-40B4-BE49-F238E27FC236}">
              <a16:creationId xmlns:a16="http://schemas.microsoft.com/office/drawing/2014/main" id="{00000000-0008-0000-0C00-00008201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387" name="Text Box 151">
          <a:extLst>
            <a:ext uri="{FF2B5EF4-FFF2-40B4-BE49-F238E27FC236}">
              <a16:creationId xmlns:a16="http://schemas.microsoft.com/office/drawing/2014/main" id="{00000000-0008-0000-0C00-00008301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388" name="Text Box 152">
          <a:extLst>
            <a:ext uri="{FF2B5EF4-FFF2-40B4-BE49-F238E27FC236}">
              <a16:creationId xmlns:a16="http://schemas.microsoft.com/office/drawing/2014/main" id="{00000000-0008-0000-0C00-00008401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389" name="Text Box 153">
          <a:extLst>
            <a:ext uri="{FF2B5EF4-FFF2-40B4-BE49-F238E27FC236}">
              <a16:creationId xmlns:a16="http://schemas.microsoft.com/office/drawing/2014/main" id="{00000000-0008-0000-0C00-00008501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390" name="Text Box 154">
          <a:extLst>
            <a:ext uri="{FF2B5EF4-FFF2-40B4-BE49-F238E27FC236}">
              <a16:creationId xmlns:a16="http://schemas.microsoft.com/office/drawing/2014/main" id="{00000000-0008-0000-0C00-000086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391" name="Text Box 155">
          <a:extLst>
            <a:ext uri="{FF2B5EF4-FFF2-40B4-BE49-F238E27FC236}">
              <a16:creationId xmlns:a16="http://schemas.microsoft.com/office/drawing/2014/main" id="{00000000-0008-0000-0C00-000087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392" name="Text Box 156">
          <a:extLst>
            <a:ext uri="{FF2B5EF4-FFF2-40B4-BE49-F238E27FC236}">
              <a16:creationId xmlns:a16="http://schemas.microsoft.com/office/drawing/2014/main" id="{00000000-0008-0000-0C00-000088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393" name="Text Box 157">
          <a:extLst>
            <a:ext uri="{FF2B5EF4-FFF2-40B4-BE49-F238E27FC236}">
              <a16:creationId xmlns:a16="http://schemas.microsoft.com/office/drawing/2014/main" id="{00000000-0008-0000-0C00-000089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94" name="Text Box 159">
          <a:extLst>
            <a:ext uri="{FF2B5EF4-FFF2-40B4-BE49-F238E27FC236}">
              <a16:creationId xmlns:a16="http://schemas.microsoft.com/office/drawing/2014/main" id="{00000000-0008-0000-0C00-00008A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95" name="Text Box 160">
          <a:extLst>
            <a:ext uri="{FF2B5EF4-FFF2-40B4-BE49-F238E27FC236}">
              <a16:creationId xmlns:a16="http://schemas.microsoft.com/office/drawing/2014/main" id="{00000000-0008-0000-0C00-00008B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96" name="Text Box 161">
          <a:extLst>
            <a:ext uri="{FF2B5EF4-FFF2-40B4-BE49-F238E27FC236}">
              <a16:creationId xmlns:a16="http://schemas.microsoft.com/office/drawing/2014/main" id="{00000000-0008-0000-0C00-00008C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97" name="Text Box 162">
          <a:extLst>
            <a:ext uri="{FF2B5EF4-FFF2-40B4-BE49-F238E27FC236}">
              <a16:creationId xmlns:a16="http://schemas.microsoft.com/office/drawing/2014/main" id="{00000000-0008-0000-0C00-00008D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98" name="Text Box 163">
          <a:extLst>
            <a:ext uri="{FF2B5EF4-FFF2-40B4-BE49-F238E27FC236}">
              <a16:creationId xmlns:a16="http://schemas.microsoft.com/office/drawing/2014/main" id="{00000000-0008-0000-0C00-00008E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399" name="Text Box 164">
          <a:extLst>
            <a:ext uri="{FF2B5EF4-FFF2-40B4-BE49-F238E27FC236}">
              <a16:creationId xmlns:a16="http://schemas.microsoft.com/office/drawing/2014/main" id="{00000000-0008-0000-0C00-00008F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00" name="Text Box 165">
          <a:extLst>
            <a:ext uri="{FF2B5EF4-FFF2-40B4-BE49-F238E27FC236}">
              <a16:creationId xmlns:a16="http://schemas.microsoft.com/office/drawing/2014/main" id="{00000000-0008-0000-0C00-000090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01" name="Text Box 166">
          <a:extLst>
            <a:ext uri="{FF2B5EF4-FFF2-40B4-BE49-F238E27FC236}">
              <a16:creationId xmlns:a16="http://schemas.microsoft.com/office/drawing/2014/main" id="{00000000-0008-0000-0C00-000091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1685925</xdr:colOff>
      <xdr:row>12</xdr:row>
      <xdr:rowOff>0</xdr:rowOff>
    </xdr:from>
    <xdr:to>
      <xdr:col>3</xdr:col>
      <xdr:colOff>114300</xdr:colOff>
      <xdr:row>14</xdr:row>
      <xdr:rowOff>33528</xdr:rowOff>
    </xdr:to>
    <xdr:sp macro="" textlink="">
      <xdr:nvSpPr>
        <xdr:cNvPr id="402" name="Text Box 167">
          <a:extLst>
            <a:ext uri="{FF2B5EF4-FFF2-40B4-BE49-F238E27FC236}">
              <a16:creationId xmlns:a16="http://schemas.microsoft.com/office/drawing/2014/main" id="{00000000-0008-0000-0C00-000092010000}"/>
            </a:ext>
          </a:extLst>
        </xdr:cNvPr>
        <xdr:cNvSpPr txBox="1">
          <a:spLocks noChangeArrowheads="1"/>
        </xdr:cNvSpPr>
      </xdr:nvSpPr>
      <xdr:spPr bwMode="auto">
        <a:xfrm>
          <a:off x="2819400" y="485775"/>
          <a:ext cx="114300" cy="33528"/>
        </a:xfrm>
        <a:prstGeom prst="rect">
          <a:avLst/>
        </a:prstGeom>
        <a:noFill/>
        <a:ln w="9525">
          <a:noFill/>
          <a:miter lim="800000"/>
          <a:headEnd/>
          <a:tailEnd/>
        </a:ln>
      </xdr:spPr>
    </xdr:sp>
    <xdr:clientData/>
  </xdr:twoCellAnchor>
  <xdr:twoCellAnchor editAs="oneCell">
    <xdr:from>
      <xdr:col>2</xdr:col>
      <xdr:colOff>1685925</xdr:colOff>
      <xdr:row>12</xdr:row>
      <xdr:rowOff>0</xdr:rowOff>
    </xdr:from>
    <xdr:to>
      <xdr:col>3</xdr:col>
      <xdr:colOff>114300</xdr:colOff>
      <xdr:row>14</xdr:row>
      <xdr:rowOff>33528</xdr:rowOff>
    </xdr:to>
    <xdr:sp macro="" textlink="">
      <xdr:nvSpPr>
        <xdr:cNvPr id="403" name="Text Box 168">
          <a:extLst>
            <a:ext uri="{FF2B5EF4-FFF2-40B4-BE49-F238E27FC236}">
              <a16:creationId xmlns:a16="http://schemas.microsoft.com/office/drawing/2014/main" id="{00000000-0008-0000-0C00-000093010000}"/>
            </a:ext>
          </a:extLst>
        </xdr:cNvPr>
        <xdr:cNvSpPr txBox="1">
          <a:spLocks noChangeArrowheads="1"/>
        </xdr:cNvSpPr>
      </xdr:nvSpPr>
      <xdr:spPr bwMode="auto">
        <a:xfrm>
          <a:off x="2819400" y="485775"/>
          <a:ext cx="114300"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404" name="Text Box 169">
          <a:extLst>
            <a:ext uri="{FF2B5EF4-FFF2-40B4-BE49-F238E27FC236}">
              <a16:creationId xmlns:a16="http://schemas.microsoft.com/office/drawing/2014/main" id="{00000000-0008-0000-0C00-00009401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405" name="Text Box 170">
          <a:extLst>
            <a:ext uri="{FF2B5EF4-FFF2-40B4-BE49-F238E27FC236}">
              <a16:creationId xmlns:a16="http://schemas.microsoft.com/office/drawing/2014/main" id="{00000000-0008-0000-0C00-00009501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406" name="Text Box 171">
          <a:extLst>
            <a:ext uri="{FF2B5EF4-FFF2-40B4-BE49-F238E27FC236}">
              <a16:creationId xmlns:a16="http://schemas.microsoft.com/office/drawing/2014/main" id="{00000000-0008-0000-0C00-00009601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407" name="Text Box 172">
          <a:extLst>
            <a:ext uri="{FF2B5EF4-FFF2-40B4-BE49-F238E27FC236}">
              <a16:creationId xmlns:a16="http://schemas.microsoft.com/office/drawing/2014/main" id="{00000000-0008-0000-0C00-00009701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08" name="Text Box 173">
          <a:extLst>
            <a:ext uri="{FF2B5EF4-FFF2-40B4-BE49-F238E27FC236}">
              <a16:creationId xmlns:a16="http://schemas.microsoft.com/office/drawing/2014/main" id="{00000000-0008-0000-0C00-000098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09" name="Text Box 174">
          <a:extLst>
            <a:ext uri="{FF2B5EF4-FFF2-40B4-BE49-F238E27FC236}">
              <a16:creationId xmlns:a16="http://schemas.microsoft.com/office/drawing/2014/main" id="{00000000-0008-0000-0C00-000099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10" name="Text Box 175">
          <a:extLst>
            <a:ext uri="{FF2B5EF4-FFF2-40B4-BE49-F238E27FC236}">
              <a16:creationId xmlns:a16="http://schemas.microsoft.com/office/drawing/2014/main" id="{00000000-0008-0000-0C00-00009A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11" name="Text Box 176">
          <a:extLst>
            <a:ext uri="{FF2B5EF4-FFF2-40B4-BE49-F238E27FC236}">
              <a16:creationId xmlns:a16="http://schemas.microsoft.com/office/drawing/2014/main" id="{00000000-0008-0000-0C00-00009B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12" name="Text Box 178">
          <a:extLst>
            <a:ext uri="{FF2B5EF4-FFF2-40B4-BE49-F238E27FC236}">
              <a16:creationId xmlns:a16="http://schemas.microsoft.com/office/drawing/2014/main" id="{00000000-0008-0000-0C00-00009C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13" name="Text Box 179">
          <a:extLst>
            <a:ext uri="{FF2B5EF4-FFF2-40B4-BE49-F238E27FC236}">
              <a16:creationId xmlns:a16="http://schemas.microsoft.com/office/drawing/2014/main" id="{00000000-0008-0000-0C00-00009D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14" name="Text Box 180">
          <a:extLst>
            <a:ext uri="{FF2B5EF4-FFF2-40B4-BE49-F238E27FC236}">
              <a16:creationId xmlns:a16="http://schemas.microsoft.com/office/drawing/2014/main" id="{00000000-0008-0000-0C00-00009E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15" name="Text Box 181">
          <a:extLst>
            <a:ext uri="{FF2B5EF4-FFF2-40B4-BE49-F238E27FC236}">
              <a16:creationId xmlns:a16="http://schemas.microsoft.com/office/drawing/2014/main" id="{00000000-0008-0000-0C00-00009F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16" name="Text Box 182">
          <a:extLst>
            <a:ext uri="{FF2B5EF4-FFF2-40B4-BE49-F238E27FC236}">
              <a16:creationId xmlns:a16="http://schemas.microsoft.com/office/drawing/2014/main" id="{00000000-0008-0000-0C00-0000A0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17" name="Text Box 183">
          <a:extLst>
            <a:ext uri="{FF2B5EF4-FFF2-40B4-BE49-F238E27FC236}">
              <a16:creationId xmlns:a16="http://schemas.microsoft.com/office/drawing/2014/main" id="{00000000-0008-0000-0C00-0000A1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18" name="Text Box 184">
          <a:extLst>
            <a:ext uri="{FF2B5EF4-FFF2-40B4-BE49-F238E27FC236}">
              <a16:creationId xmlns:a16="http://schemas.microsoft.com/office/drawing/2014/main" id="{00000000-0008-0000-0C00-0000A2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19" name="Text Box 185">
          <a:extLst>
            <a:ext uri="{FF2B5EF4-FFF2-40B4-BE49-F238E27FC236}">
              <a16:creationId xmlns:a16="http://schemas.microsoft.com/office/drawing/2014/main" id="{00000000-0008-0000-0C00-0000A3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1685925</xdr:colOff>
      <xdr:row>12</xdr:row>
      <xdr:rowOff>0</xdr:rowOff>
    </xdr:from>
    <xdr:to>
      <xdr:col>4</xdr:col>
      <xdr:colOff>114300</xdr:colOff>
      <xdr:row>14</xdr:row>
      <xdr:rowOff>33528</xdr:rowOff>
    </xdr:to>
    <xdr:sp macro="" textlink="">
      <xdr:nvSpPr>
        <xdr:cNvPr id="420" name="Text Box 186">
          <a:extLst>
            <a:ext uri="{FF2B5EF4-FFF2-40B4-BE49-F238E27FC236}">
              <a16:creationId xmlns:a16="http://schemas.microsoft.com/office/drawing/2014/main" id="{00000000-0008-0000-0C00-0000A4010000}"/>
            </a:ext>
          </a:extLst>
        </xdr:cNvPr>
        <xdr:cNvSpPr txBox="1">
          <a:spLocks noChangeArrowheads="1"/>
        </xdr:cNvSpPr>
      </xdr:nvSpPr>
      <xdr:spPr bwMode="auto">
        <a:xfrm>
          <a:off x="3238500" y="485775"/>
          <a:ext cx="114300" cy="33528"/>
        </a:xfrm>
        <a:prstGeom prst="rect">
          <a:avLst/>
        </a:prstGeom>
        <a:noFill/>
        <a:ln w="9525">
          <a:noFill/>
          <a:miter lim="800000"/>
          <a:headEnd/>
          <a:tailEnd/>
        </a:ln>
      </xdr:spPr>
    </xdr:sp>
    <xdr:clientData/>
  </xdr:twoCellAnchor>
  <xdr:twoCellAnchor editAs="oneCell">
    <xdr:from>
      <xdr:col>3</xdr:col>
      <xdr:colOff>1685925</xdr:colOff>
      <xdr:row>12</xdr:row>
      <xdr:rowOff>0</xdr:rowOff>
    </xdr:from>
    <xdr:to>
      <xdr:col>4</xdr:col>
      <xdr:colOff>114300</xdr:colOff>
      <xdr:row>14</xdr:row>
      <xdr:rowOff>33528</xdr:rowOff>
    </xdr:to>
    <xdr:sp macro="" textlink="">
      <xdr:nvSpPr>
        <xdr:cNvPr id="421" name="Text Box 187">
          <a:extLst>
            <a:ext uri="{FF2B5EF4-FFF2-40B4-BE49-F238E27FC236}">
              <a16:creationId xmlns:a16="http://schemas.microsoft.com/office/drawing/2014/main" id="{00000000-0008-0000-0C00-0000A5010000}"/>
            </a:ext>
          </a:extLst>
        </xdr:cNvPr>
        <xdr:cNvSpPr txBox="1">
          <a:spLocks noChangeArrowheads="1"/>
        </xdr:cNvSpPr>
      </xdr:nvSpPr>
      <xdr:spPr bwMode="auto">
        <a:xfrm>
          <a:off x="3238500" y="485775"/>
          <a:ext cx="114300"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422" name="Text Box 188">
          <a:extLst>
            <a:ext uri="{FF2B5EF4-FFF2-40B4-BE49-F238E27FC236}">
              <a16:creationId xmlns:a16="http://schemas.microsoft.com/office/drawing/2014/main" id="{00000000-0008-0000-0C00-0000A601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423" name="Text Box 189">
          <a:extLst>
            <a:ext uri="{FF2B5EF4-FFF2-40B4-BE49-F238E27FC236}">
              <a16:creationId xmlns:a16="http://schemas.microsoft.com/office/drawing/2014/main" id="{00000000-0008-0000-0C00-0000A701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424" name="Text Box 190">
          <a:extLst>
            <a:ext uri="{FF2B5EF4-FFF2-40B4-BE49-F238E27FC236}">
              <a16:creationId xmlns:a16="http://schemas.microsoft.com/office/drawing/2014/main" id="{00000000-0008-0000-0C00-0000A801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425" name="Text Box 191">
          <a:extLst>
            <a:ext uri="{FF2B5EF4-FFF2-40B4-BE49-F238E27FC236}">
              <a16:creationId xmlns:a16="http://schemas.microsoft.com/office/drawing/2014/main" id="{00000000-0008-0000-0C00-0000A901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26" name="Text Box 192">
          <a:extLst>
            <a:ext uri="{FF2B5EF4-FFF2-40B4-BE49-F238E27FC236}">
              <a16:creationId xmlns:a16="http://schemas.microsoft.com/office/drawing/2014/main" id="{00000000-0008-0000-0C00-0000AA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27" name="Text Box 193">
          <a:extLst>
            <a:ext uri="{FF2B5EF4-FFF2-40B4-BE49-F238E27FC236}">
              <a16:creationId xmlns:a16="http://schemas.microsoft.com/office/drawing/2014/main" id="{00000000-0008-0000-0C00-0000AB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28" name="Text Box 194">
          <a:extLst>
            <a:ext uri="{FF2B5EF4-FFF2-40B4-BE49-F238E27FC236}">
              <a16:creationId xmlns:a16="http://schemas.microsoft.com/office/drawing/2014/main" id="{00000000-0008-0000-0C00-0000AC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29" name="Text Box 195">
          <a:extLst>
            <a:ext uri="{FF2B5EF4-FFF2-40B4-BE49-F238E27FC236}">
              <a16:creationId xmlns:a16="http://schemas.microsoft.com/office/drawing/2014/main" id="{00000000-0008-0000-0C00-0000AD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430" name="Text Box 196">
          <a:extLst>
            <a:ext uri="{FF2B5EF4-FFF2-40B4-BE49-F238E27FC236}">
              <a16:creationId xmlns:a16="http://schemas.microsoft.com/office/drawing/2014/main" id="{00000000-0008-0000-0C00-0000AE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431" name="Text Box 197">
          <a:extLst>
            <a:ext uri="{FF2B5EF4-FFF2-40B4-BE49-F238E27FC236}">
              <a16:creationId xmlns:a16="http://schemas.microsoft.com/office/drawing/2014/main" id="{00000000-0008-0000-0C00-0000AF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432" name="Text Box 198">
          <a:extLst>
            <a:ext uri="{FF2B5EF4-FFF2-40B4-BE49-F238E27FC236}">
              <a16:creationId xmlns:a16="http://schemas.microsoft.com/office/drawing/2014/main" id="{00000000-0008-0000-0C00-0000B0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433" name="Text Box 199">
          <a:extLst>
            <a:ext uri="{FF2B5EF4-FFF2-40B4-BE49-F238E27FC236}">
              <a16:creationId xmlns:a16="http://schemas.microsoft.com/office/drawing/2014/main" id="{00000000-0008-0000-0C00-0000B1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434" name="Text Box 200">
          <a:extLst>
            <a:ext uri="{FF2B5EF4-FFF2-40B4-BE49-F238E27FC236}">
              <a16:creationId xmlns:a16="http://schemas.microsoft.com/office/drawing/2014/main" id="{00000000-0008-0000-0C00-0000B2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435" name="Text Box 201">
          <a:extLst>
            <a:ext uri="{FF2B5EF4-FFF2-40B4-BE49-F238E27FC236}">
              <a16:creationId xmlns:a16="http://schemas.microsoft.com/office/drawing/2014/main" id="{00000000-0008-0000-0C00-0000B3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436" name="Text Box 202">
          <a:extLst>
            <a:ext uri="{FF2B5EF4-FFF2-40B4-BE49-F238E27FC236}">
              <a16:creationId xmlns:a16="http://schemas.microsoft.com/office/drawing/2014/main" id="{00000000-0008-0000-0C00-0000B4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437" name="Text Box 203">
          <a:extLst>
            <a:ext uri="{FF2B5EF4-FFF2-40B4-BE49-F238E27FC236}">
              <a16:creationId xmlns:a16="http://schemas.microsoft.com/office/drawing/2014/main" id="{00000000-0008-0000-0C00-0000B5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438" name="Text Box 204">
          <a:extLst>
            <a:ext uri="{FF2B5EF4-FFF2-40B4-BE49-F238E27FC236}">
              <a16:creationId xmlns:a16="http://schemas.microsoft.com/office/drawing/2014/main" id="{00000000-0008-0000-0C00-0000B6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1685925</xdr:colOff>
      <xdr:row>13</xdr:row>
      <xdr:rowOff>0</xdr:rowOff>
    </xdr:from>
    <xdr:to>
      <xdr:col>4</xdr:col>
      <xdr:colOff>114300</xdr:colOff>
      <xdr:row>14</xdr:row>
      <xdr:rowOff>34290</xdr:rowOff>
    </xdr:to>
    <xdr:sp macro="" textlink="">
      <xdr:nvSpPr>
        <xdr:cNvPr id="439" name="Text Box 205">
          <a:extLst>
            <a:ext uri="{FF2B5EF4-FFF2-40B4-BE49-F238E27FC236}">
              <a16:creationId xmlns:a16="http://schemas.microsoft.com/office/drawing/2014/main" id="{00000000-0008-0000-0C00-0000B701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1685925</xdr:colOff>
      <xdr:row>13</xdr:row>
      <xdr:rowOff>0</xdr:rowOff>
    </xdr:from>
    <xdr:to>
      <xdr:col>4</xdr:col>
      <xdr:colOff>114300</xdr:colOff>
      <xdr:row>14</xdr:row>
      <xdr:rowOff>34290</xdr:rowOff>
    </xdr:to>
    <xdr:sp macro="" textlink="">
      <xdr:nvSpPr>
        <xdr:cNvPr id="440" name="Text Box 206">
          <a:extLst>
            <a:ext uri="{FF2B5EF4-FFF2-40B4-BE49-F238E27FC236}">
              <a16:creationId xmlns:a16="http://schemas.microsoft.com/office/drawing/2014/main" id="{00000000-0008-0000-0C00-0000B801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441" name="Text Box 207">
          <a:extLst>
            <a:ext uri="{FF2B5EF4-FFF2-40B4-BE49-F238E27FC236}">
              <a16:creationId xmlns:a16="http://schemas.microsoft.com/office/drawing/2014/main" id="{00000000-0008-0000-0C00-0000B9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442" name="Text Box 208">
          <a:extLst>
            <a:ext uri="{FF2B5EF4-FFF2-40B4-BE49-F238E27FC236}">
              <a16:creationId xmlns:a16="http://schemas.microsoft.com/office/drawing/2014/main" id="{00000000-0008-0000-0C00-0000BA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443" name="Text Box 209">
          <a:extLst>
            <a:ext uri="{FF2B5EF4-FFF2-40B4-BE49-F238E27FC236}">
              <a16:creationId xmlns:a16="http://schemas.microsoft.com/office/drawing/2014/main" id="{00000000-0008-0000-0C00-0000BB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444" name="Text Box 210">
          <a:extLst>
            <a:ext uri="{FF2B5EF4-FFF2-40B4-BE49-F238E27FC236}">
              <a16:creationId xmlns:a16="http://schemas.microsoft.com/office/drawing/2014/main" id="{00000000-0008-0000-0C00-0000BC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445" name="Text Box 211">
          <a:extLst>
            <a:ext uri="{FF2B5EF4-FFF2-40B4-BE49-F238E27FC236}">
              <a16:creationId xmlns:a16="http://schemas.microsoft.com/office/drawing/2014/main" id="{00000000-0008-0000-0C00-0000BD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446" name="Text Box 212">
          <a:extLst>
            <a:ext uri="{FF2B5EF4-FFF2-40B4-BE49-F238E27FC236}">
              <a16:creationId xmlns:a16="http://schemas.microsoft.com/office/drawing/2014/main" id="{00000000-0008-0000-0C00-0000BE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447" name="Text Box 213">
          <a:extLst>
            <a:ext uri="{FF2B5EF4-FFF2-40B4-BE49-F238E27FC236}">
              <a16:creationId xmlns:a16="http://schemas.microsoft.com/office/drawing/2014/main" id="{00000000-0008-0000-0C00-0000BF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448" name="Text Box 214">
          <a:extLst>
            <a:ext uri="{FF2B5EF4-FFF2-40B4-BE49-F238E27FC236}">
              <a16:creationId xmlns:a16="http://schemas.microsoft.com/office/drawing/2014/main" id="{00000000-0008-0000-0C00-0000C0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449" name="Text Box 216">
          <a:extLst>
            <a:ext uri="{FF2B5EF4-FFF2-40B4-BE49-F238E27FC236}">
              <a16:creationId xmlns:a16="http://schemas.microsoft.com/office/drawing/2014/main" id="{00000000-0008-0000-0C00-0000C1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450" name="Text Box 217">
          <a:extLst>
            <a:ext uri="{FF2B5EF4-FFF2-40B4-BE49-F238E27FC236}">
              <a16:creationId xmlns:a16="http://schemas.microsoft.com/office/drawing/2014/main" id="{00000000-0008-0000-0C00-0000C2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451" name="Text Box 218">
          <a:extLst>
            <a:ext uri="{FF2B5EF4-FFF2-40B4-BE49-F238E27FC236}">
              <a16:creationId xmlns:a16="http://schemas.microsoft.com/office/drawing/2014/main" id="{00000000-0008-0000-0C00-0000C3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452" name="Text Box 219">
          <a:extLst>
            <a:ext uri="{FF2B5EF4-FFF2-40B4-BE49-F238E27FC236}">
              <a16:creationId xmlns:a16="http://schemas.microsoft.com/office/drawing/2014/main" id="{00000000-0008-0000-0C00-0000C4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453" name="Text Box 220">
          <a:extLst>
            <a:ext uri="{FF2B5EF4-FFF2-40B4-BE49-F238E27FC236}">
              <a16:creationId xmlns:a16="http://schemas.microsoft.com/office/drawing/2014/main" id="{00000000-0008-0000-0C00-0000C5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454" name="Text Box 221">
          <a:extLst>
            <a:ext uri="{FF2B5EF4-FFF2-40B4-BE49-F238E27FC236}">
              <a16:creationId xmlns:a16="http://schemas.microsoft.com/office/drawing/2014/main" id="{00000000-0008-0000-0C00-0000C6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455" name="Text Box 222">
          <a:extLst>
            <a:ext uri="{FF2B5EF4-FFF2-40B4-BE49-F238E27FC236}">
              <a16:creationId xmlns:a16="http://schemas.microsoft.com/office/drawing/2014/main" id="{00000000-0008-0000-0C00-0000C7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456" name="Text Box 223">
          <a:extLst>
            <a:ext uri="{FF2B5EF4-FFF2-40B4-BE49-F238E27FC236}">
              <a16:creationId xmlns:a16="http://schemas.microsoft.com/office/drawing/2014/main" id="{00000000-0008-0000-0C00-0000C8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1685925</xdr:colOff>
      <xdr:row>14</xdr:row>
      <xdr:rowOff>0</xdr:rowOff>
    </xdr:from>
    <xdr:to>
      <xdr:col>4</xdr:col>
      <xdr:colOff>114300</xdr:colOff>
      <xdr:row>14</xdr:row>
      <xdr:rowOff>34290</xdr:rowOff>
    </xdr:to>
    <xdr:sp macro="" textlink="">
      <xdr:nvSpPr>
        <xdr:cNvPr id="457" name="Text Box 224">
          <a:extLst>
            <a:ext uri="{FF2B5EF4-FFF2-40B4-BE49-F238E27FC236}">
              <a16:creationId xmlns:a16="http://schemas.microsoft.com/office/drawing/2014/main" id="{00000000-0008-0000-0C00-0000C901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458" name="Text Box 226">
          <a:extLst>
            <a:ext uri="{FF2B5EF4-FFF2-40B4-BE49-F238E27FC236}">
              <a16:creationId xmlns:a16="http://schemas.microsoft.com/office/drawing/2014/main" id="{00000000-0008-0000-0C00-0000CA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459" name="Text Box 227">
          <a:extLst>
            <a:ext uri="{FF2B5EF4-FFF2-40B4-BE49-F238E27FC236}">
              <a16:creationId xmlns:a16="http://schemas.microsoft.com/office/drawing/2014/main" id="{00000000-0008-0000-0C00-0000CB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460" name="Text Box 228">
          <a:extLst>
            <a:ext uri="{FF2B5EF4-FFF2-40B4-BE49-F238E27FC236}">
              <a16:creationId xmlns:a16="http://schemas.microsoft.com/office/drawing/2014/main" id="{00000000-0008-0000-0C00-0000CC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461" name="Text Box 229">
          <a:extLst>
            <a:ext uri="{FF2B5EF4-FFF2-40B4-BE49-F238E27FC236}">
              <a16:creationId xmlns:a16="http://schemas.microsoft.com/office/drawing/2014/main" id="{00000000-0008-0000-0C00-0000CD01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462" name="Text Box 230">
          <a:extLst>
            <a:ext uri="{FF2B5EF4-FFF2-40B4-BE49-F238E27FC236}">
              <a16:creationId xmlns:a16="http://schemas.microsoft.com/office/drawing/2014/main" id="{00000000-0008-0000-0C00-0000CE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463" name="Text Box 231">
          <a:extLst>
            <a:ext uri="{FF2B5EF4-FFF2-40B4-BE49-F238E27FC236}">
              <a16:creationId xmlns:a16="http://schemas.microsoft.com/office/drawing/2014/main" id="{00000000-0008-0000-0C00-0000CF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464" name="Text Box 232">
          <a:extLst>
            <a:ext uri="{FF2B5EF4-FFF2-40B4-BE49-F238E27FC236}">
              <a16:creationId xmlns:a16="http://schemas.microsoft.com/office/drawing/2014/main" id="{00000000-0008-0000-0C00-0000D0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465" name="Text Box 233">
          <a:extLst>
            <a:ext uri="{FF2B5EF4-FFF2-40B4-BE49-F238E27FC236}">
              <a16:creationId xmlns:a16="http://schemas.microsoft.com/office/drawing/2014/main" id="{00000000-0008-0000-0C00-0000D1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466" name="Text Box 234">
          <a:extLst>
            <a:ext uri="{FF2B5EF4-FFF2-40B4-BE49-F238E27FC236}">
              <a16:creationId xmlns:a16="http://schemas.microsoft.com/office/drawing/2014/main" id="{00000000-0008-0000-0C00-0000D201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xdr:from>
      <xdr:col>0</xdr:col>
      <xdr:colOff>0</xdr:colOff>
      <xdr:row>3</xdr:row>
      <xdr:rowOff>0</xdr:rowOff>
    </xdr:from>
    <xdr:to>
      <xdr:col>0</xdr:col>
      <xdr:colOff>638175</xdr:colOff>
      <xdr:row>3</xdr:row>
      <xdr:rowOff>0</xdr:rowOff>
    </xdr:to>
    <xdr:sp macro="" textlink="">
      <xdr:nvSpPr>
        <xdr:cNvPr id="467" name="Line 1">
          <a:extLst>
            <a:ext uri="{FF2B5EF4-FFF2-40B4-BE49-F238E27FC236}">
              <a16:creationId xmlns:a16="http://schemas.microsoft.com/office/drawing/2014/main" id="{00000000-0008-0000-0C00-0000D3010000}"/>
            </a:ext>
          </a:extLst>
        </xdr:cNvPr>
        <xdr:cNvSpPr>
          <a:spLocks noChangeShapeType="1"/>
        </xdr:cNvSpPr>
      </xdr:nvSpPr>
      <xdr:spPr bwMode="auto">
        <a:xfrm>
          <a:off x="0" y="485775"/>
          <a:ext cx="638175" cy="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0</xdr:col>
      <xdr:colOff>638175</xdr:colOff>
      <xdr:row>3</xdr:row>
      <xdr:rowOff>0</xdr:rowOff>
    </xdr:to>
    <xdr:sp macro="" textlink="">
      <xdr:nvSpPr>
        <xdr:cNvPr id="468" name="Line 2">
          <a:extLst>
            <a:ext uri="{FF2B5EF4-FFF2-40B4-BE49-F238E27FC236}">
              <a16:creationId xmlns:a16="http://schemas.microsoft.com/office/drawing/2014/main" id="{00000000-0008-0000-0C00-0000D4010000}"/>
            </a:ext>
          </a:extLst>
        </xdr:cNvPr>
        <xdr:cNvSpPr>
          <a:spLocks noChangeShapeType="1"/>
        </xdr:cNvSpPr>
      </xdr:nvSpPr>
      <xdr:spPr bwMode="auto">
        <a:xfrm>
          <a:off x="0" y="485775"/>
          <a:ext cx="638175" cy="0"/>
        </a:xfrm>
        <a:prstGeom prst="line">
          <a:avLst/>
        </a:prstGeom>
        <a:noFill/>
        <a:ln w="9525">
          <a:solidFill>
            <a:srgbClr val="000000"/>
          </a:solidFill>
          <a:round/>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469" name="Text Box 134">
          <a:extLst>
            <a:ext uri="{FF2B5EF4-FFF2-40B4-BE49-F238E27FC236}">
              <a16:creationId xmlns:a16="http://schemas.microsoft.com/office/drawing/2014/main" id="{00000000-0008-0000-0C00-0000D5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470" name="Text Box 135">
          <a:extLst>
            <a:ext uri="{FF2B5EF4-FFF2-40B4-BE49-F238E27FC236}">
              <a16:creationId xmlns:a16="http://schemas.microsoft.com/office/drawing/2014/main" id="{00000000-0008-0000-0C00-0000D6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471" name="Text Box 142">
          <a:extLst>
            <a:ext uri="{FF2B5EF4-FFF2-40B4-BE49-F238E27FC236}">
              <a16:creationId xmlns:a16="http://schemas.microsoft.com/office/drawing/2014/main" id="{00000000-0008-0000-0C00-0000D7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472" name="Text Box 143">
          <a:extLst>
            <a:ext uri="{FF2B5EF4-FFF2-40B4-BE49-F238E27FC236}">
              <a16:creationId xmlns:a16="http://schemas.microsoft.com/office/drawing/2014/main" id="{00000000-0008-0000-0C00-0000D8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473" name="Text Box 144">
          <a:extLst>
            <a:ext uri="{FF2B5EF4-FFF2-40B4-BE49-F238E27FC236}">
              <a16:creationId xmlns:a16="http://schemas.microsoft.com/office/drawing/2014/main" id="{00000000-0008-0000-0C00-0000D9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474" name="Text Box 145">
          <a:extLst>
            <a:ext uri="{FF2B5EF4-FFF2-40B4-BE49-F238E27FC236}">
              <a16:creationId xmlns:a16="http://schemas.microsoft.com/office/drawing/2014/main" id="{00000000-0008-0000-0C00-0000DA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475" name="Text Box 146">
          <a:extLst>
            <a:ext uri="{FF2B5EF4-FFF2-40B4-BE49-F238E27FC236}">
              <a16:creationId xmlns:a16="http://schemas.microsoft.com/office/drawing/2014/main" id="{00000000-0008-0000-0C00-0000DB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476" name="Text Box 147">
          <a:extLst>
            <a:ext uri="{FF2B5EF4-FFF2-40B4-BE49-F238E27FC236}">
              <a16:creationId xmlns:a16="http://schemas.microsoft.com/office/drawing/2014/main" id="{00000000-0008-0000-0C00-0000DC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1685925</xdr:colOff>
      <xdr:row>12</xdr:row>
      <xdr:rowOff>0</xdr:rowOff>
    </xdr:from>
    <xdr:to>
      <xdr:col>2</xdr:col>
      <xdr:colOff>114300</xdr:colOff>
      <xdr:row>14</xdr:row>
      <xdr:rowOff>33528</xdr:rowOff>
    </xdr:to>
    <xdr:sp macro="" textlink="">
      <xdr:nvSpPr>
        <xdr:cNvPr id="477" name="Text Box 136">
          <a:extLst>
            <a:ext uri="{FF2B5EF4-FFF2-40B4-BE49-F238E27FC236}">
              <a16:creationId xmlns:a16="http://schemas.microsoft.com/office/drawing/2014/main" id="{00000000-0008-0000-0C00-0000DD010000}"/>
            </a:ext>
          </a:extLst>
        </xdr:cNvPr>
        <xdr:cNvSpPr txBox="1">
          <a:spLocks noChangeArrowheads="1"/>
        </xdr:cNvSpPr>
      </xdr:nvSpPr>
      <xdr:spPr bwMode="auto">
        <a:xfrm>
          <a:off x="2400300" y="485775"/>
          <a:ext cx="114300" cy="33528"/>
        </a:xfrm>
        <a:prstGeom prst="rect">
          <a:avLst/>
        </a:prstGeom>
        <a:noFill/>
        <a:ln w="9525">
          <a:noFill/>
          <a:miter lim="800000"/>
          <a:headEnd/>
          <a:tailEnd/>
        </a:ln>
      </xdr:spPr>
    </xdr:sp>
    <xdr:clientData/>
  </xdr:twoCellAnchor>
  <xdr:twoCellAnchor editAs="oneCell">
    <xdr:from>
      <xdr:col>1</xdr:col>
      <xdr:colOff>1685925</xdr:colOff>
      <xdr:row>12</xdr:row>
      <xdr:rowOff>0</xdr:rowOff>
    </xdr:from>
    <xdr:to>
      <xdr:col>2</xdr:col>
      <xdr:colOff>114300</xdr:colOff>
      <xdr:row>14</xdr:row>
      <xdr:rowOff>33528</xdr:rowOff>
    </xdr:to>
    <xdr:sp macro="" textlink="">
      <xdr:nvSpPr>
        <xdr:cNvPr id="478" name="Text Box 137">
          <a:extLst>
            <a:ext uri="{FF2B5EF4-FFF2-40B4-BE49-F238E27FC236}">
              <a16:creationId xmlns:a16="http://schemas.microsoft.com/office/drawing/2014/main" id="{00000000-0008-0000-0C00-0000DE010000}"/>
            </a:ext>
          </a:extLst>
        </xdr:cNvPr>
        <xdr:cNvSpPr txBox="1">
          <a:spLocks noChangeArrowheads="1"/>
        </xdr:cNvSpPr>
      </xdr:nvSpPr>
      <xdr:spPr bwMode="auto">
        <a:xfrm>
          <a:off x="2400300" y="485775"/>
          <a:ext cx="114300"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479" name="Text Box 150">
          <a:extLst>
            <a:ext uri="{FF2B5EF4-FFF2-40B4-BE49-F238E27FC236}">
              <a16:creationId xmlns:a16="http://schemas.microsoft.com/office/drawing/2014/main" id="{00000000-0008-0000-0C00-0000DF01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480" name="Text Box 151">
          <a:extLst>
            <a:ext uri="{FF2B5EF4-FFF2-40B4-BE49-F238E27FC236}">
              <a16:creationId xmlns:a16="http://schemas.microsoft.com/office/drawing/2014/main" id="{00000000-0008-0000-0C00-0000E001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481" name="Text Box 152">
          <a:extLst>
            <a:ext uri="{FF2B5EF4-FFF2-40B4-BE49-F238E27FC236}">
              <a16:creationId xmlns:a16="http://schemas.microsoft.com/office/drawing/2014/main" id="{00000000-0008-0000-0C00-0000E101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33528</xdr:rowOff>
    </xdr:to>
    <xdr:sp macro="" textlink="">
      <xdr:nvSpPr>
        <xdr:cNvPr id="482" name="Text Box 153">
          <a:extLst>
            <a:ext uri="{FF2B5EF4-FFF2-40B4-BE49-F238E27FC236}">
              <a16:creationId xmlns:a16="http://schemas.microsoft.com/office/drawing/2014/main" id="{00000000-0008-0000-0C00-0000E2010000}"/>
            </a:ext>
          </a:extLst>
        </xdr:cNvPr>
        <xdr:cNvSpPr txBox="1">
          <a:spLocks noChangeArrowheads="1"/>
        </xdr:cNvSpPr>
      </xdr:nvSpPr>
      <xdr:spPr bwMode="auto">
        <a:xfrm>
          <a:off x="2400300" y="485775"/>
          <a:ext cx="123825" cy="33528"/>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483" name="Text Box 154">
          <a:extLst>
            <a:ext uri="{FF2B5EF4-FFF2-40B4-BE49-F238E27FC236}">
              <a16:creationId xmlns:a16="http://schemas.microsoft.com/office/drawing/2014/main" id="{00000000-0008-0000-0C00-0000E3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484" name="Text Box 155">
          <a:extLst>
            <a:ext uri="{FF2B5EF4-FFF2-40B4-BE49-F238E27FC236}">
              <a16:creationId xmlns:a16="http://schemas.microsoft.com/office/drawing/2014/main" id="{00000000-0008-0000-0C00-0000E4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485" name="Text Box 156">
          <a:extLst>
            <a:ext uri="{FF2B5EF4-FFF2-40B4-BE49-F238E27FC236}">
              <a16:creationId xmlns:a16="http://schemas.microsoft.com/office/drawing/2014/main" id="{00000000-0008-0000-0C00-0000E5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1</xdr:col>
      <xdr:colOff>1676400</xdr:colOff>
      <xdr:row>12</xdr:row>
      <xdr:rowOff>0</xdr:rowOff>
    </xdr:from>
    <xdr:to>
      <xdr:col>2</xdr:col>
      <xdr:colOff>123825</xdr:colOff>
      <xdr:row>14</xdr:row>
      <xdr:rowOff>33909</xdr:rowOff>
    </xdr:to>
    <xdr:sp macro="" textlink="">
      <xdr:nvSpPr>
        <xdr:cNvPr id="486" name="Text Box 157">
          <a:extLst>
            <a:ext uri="{FF2B5EF4-FFF2-40B4-BE49-F238E27FC236}">
              <a16:creationId xmlns:a16="http://schemas.microsoft.com/office/drawing/2014/main" id="{00000000-0008-0000-0C00-0000E6010000}"/>
            </a:ext>
          </a:extLst>
        </xdr:cNvPr>
        <xdr:cNvSpPr txBox="1">
          <a:spLocks noChangeArrowheads="1"/>
        </xdr:cNvSpPr>
      </xdr:nvSpPr>
      <xdr:spPr bwMode="auto">
        <a:xfrm>
          <a:off x="24003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87" name="Text Box 159">
          <a:extLst>
            <a:ext uri="{FF2B5EF4-FFF2-40B4-BE49-F238E27FC236}">
              <a16:creationId xmlns:a16="http://schemas.microsoft.com/office/drawing/2014/main" id="{00000000-0008-0000-0C00-0000E7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88" name="Text Box 160">
          <a:extLst>
            <a:ext uri="{FF2B5EF4-FFF2-40B4-BE49-F238E27FC236}">
              <a16:creationId xmlns:a16="http://schemas.microsoft.com/office/drawing/2014/main" id="{00000000-0008-0000-0C00-0000E8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89" name="Text Box 161">
          <a:extLst>
            <a:ext uri="{FF2B5EF4-FFF2-40B4-BE49-F238E27FC236}">
              <a16:creationId xmlns:a16="http://schemas.microsoft.com/office/drawing/2014/main" id="{00000000-0008-0000-0C00-0000E9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90" name="Text Box 162">
          <a:extLst>
            <a:ext uri="{FF2B5EF4-FFF2-40B4-BE49-F238E27FC236}">
              <a16:creationId xmlns:a16="http://schemas.microsoft.com/office/drawing/2014/main" id="{00000000-0008-0000-0C00-0000EA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91" name="Text Box 163">
          <a:extLst>
            <a:ext uri="{FF2B5EF4-FFF2-40B4-BE49-F238E27FC236}">
              <a16:creationId xmlns:a16="http://schemas.microsoft.com/office/drawing/2014/main" id="{00000000-0008-0000-0C00-0000EB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92" name="Text Box 164">
          <a:extLst>
            <a:ext uri="{FF2B5EF4-FFF2-40B4-BE49-F238E27FC236}">
              <a16:creationId xmlns:a16="http://schemas.microsoft.com/office/drawing/2014/main" id="{00000000-0008-0000-0C00-0000EC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93" name="Text Box 165">
          <a:extLst>
            <a:ext uri="{FF2B5EF4-FFF2-40B4-BE49-F238E27FC236}">
              <a16:creationId xmlns:a16="http://schemas.microsoft.com/office/drawing/2014/main" id="{00000000-0008-0000-0C00-0000ED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494" name="Text Box 166">
          <a:extLst>
            <a:ext uri="{FF2B5EF4-FFF2-40B4-BE49-F238E27FC236}">
              <a16:creationId xmlns:a16="http://schemas.microsoft.com/office/drawing/2014/main" id="{00000000-0008-0000-0C00-0000EE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1685925</xdr:colOff>
      <xdr:row>12</xdr:row>
      <xdr:rowOff>0</xdr:rowOff>
    </xdr:from>
    <xdr:to>
      <xdr:col>3</xdr:col>
      <xdr:colOff>114300</xdr:colOff>
      <xdr:row>14</xdr:row>
      <xdr:rowOff>33528</xdr:rowOff>
    </xdr:to>
    <xdr:sp macro="" textlink="">
      <xdr:nvSpPr>
        <xdr:cNvPr id="495" name="Text Box 167">
          <a:extLst>
            <a:ext uri="{FF2B5EF4-FFF2-40B4-BE49-F238E27FC236}">
              <a16:creationId xmlns:a16="http://schemas.microsoft.com/office/drawing/2014/main" id="{00000000-0008-0000-0C00-0000EF010000}"/>
            </a:ext>
          </a:extLst>
        </xdr:cNvPr>
        <xdr:cNvSpPr txBox="1">
          <a:spLocks noChangeArrowheads="1"/>
        </xdr:cNvSpPr>
      </xdr:nvSpPr>
      <xdr:spPr bwMode="auto">
        <a:xfrm>
          <a:off x="2819400" y="485775"/>
          <a:ext cx="114300" cy="33528"/>
        </a:xfrm>
        <a:prstGeom prst="rect">
          <a:avLst/>
        </a:prstGeom>
        <a:noFill/>
        <a:ln w="9525">
          <a:noFill/>
          <a:miter lim="800000"/>
          <a:headEnd/>
          <a:tailEnd/>
        </a:ln>
      </xdr:spPr>
    </xdr:sp>
    <xdr:clientData/>
  </xdr:twoCellAnchor>
  <xdr:twoCellAnchor editAs="oneCell">
    <xdr:from>
      <xdr:col>2</xdr:col>
      <xdr:colOff>1685925</xdr:colOff>
      <xdr:row>12</xdr:row>
      <xdr:rowOff>0</xdr:rowOff>
    </xdr:from>
    <xdr:to>
      <xdr:col>3</xdr:col>
      <xdr:colOff>114300</xdr:colOff>
      <xdr:row>14</xdr:row>
      <xdr:rowOff>33528</xdr:rowOff>
    </xdr:to>
    <xdr:sp macro="" textlink="">
      <xdr:nvSpPr>
        <xdr:cNvPr id="496" name="Text Box 168">
          <a:extLst>
            <a:ext uri="{FF2B5EF4-FFF2-40B4-BE49-F238E27FC236}">
              <a16:creationId xmlns:a16="http://schemas.microsoft.com/office/drawing/2014/main" id="{00000000-0008-0000-0C00-0000F0010000}"/>
            </a:ext>
          </a:extLst>
        </xdr:cNvPr>
        <xdr:cNvSpPr txBox="1">
          <a:spLocks noChangeArrowheads="1"/>
        </xdr:cNvSpPr>
      </xdr:nvSpPr>
      <xdr:spPr bwMode="auto">
        <a:xfrm>
          <a:off x="2819400" y="485775"/>
          <a:ext cx="114300"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497" name="Text Box 169">
          <a:extLst>
            <a:ext uri="{FF2B5EF4-FFF2-40B4-BE49-F238E27FC236}">
              <a16:creationId xmlns:a16="http://schemas.microsoft.com/office/drawing/2014/main" id="{00000000-0008-0000-0C00-0000F101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498" name="Text Box 170">
          <a:extLst>
            <a:ext uri="{FF2B5EF4-FFF2-40B4-BE49-F238E27FC236}">
              <a16:creationId xmlns:a16="http://schemas.microsoft.com/office/drawing/2014/main" id="{00000000-0008-0000-0C00-0000F201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499" name="Text Box 171">
          <a:extLst>
            <a:ext uri="{FF2B5EF4-FFF2-40B4-BE49-F238E27FC236}">
              <a16:creationId xmlns:a16="http://schemas.microsoft.com/office/drawing/2014/main" id="{00000000-0008-0000-0C00-0000F301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33528</xdr:rowOff>
    </xdr:to>
    <xdr:sp macro="" textlink="">
      <xdr:nvSpPr>
        <xdr:cNvPr id="500" name="Text Box 172">
          <a:extLst>
            <a:ext uri="{FF2B5EF4-FFF2-40B4-BE49-F238E27FC236}">
              <a16:creationId xmlns:a16="http://schemas.microsoft.com/office/drawing/2014/main" id="{00000000-0008-0000-0C00-0000F4010000}"/>
            </a:ext>
          </a:extLst>
        </xdr:cNvPr>
        <xdr:cNvSpPr txBox="1">
          <a:spLocks noChangeArrowheads="1"/>
        </xdr:cNvSpPr>
      </xdr:nvSpPr>
      <xdr:spPr bwMode="auto">
        <a:xfrm>
          <a:off x="2819400" y="485775"/>
          <a:ext cx="123825" cy="33528"/>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501" name="Text Box 173">
          <a:extLst>
            <a:ext uri="{FF2B5EF4-FFF2-40B4-BE49-F238E27FC236}">
              <a16:creationId xmlns:a16="http://schemas.microsoft.com/office/drawing/2014/main" id="{00000000-0008-0000-0C00-0000F5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502" name="Text Box 174">
          <a:extLst>
            <a:ext uri="{FF2B5EF4-FFF2-40B4-BE49-F238E27FC236}">
              <a16:creationId xmlns:a16="http://schemas.microsoft.com/office/drawing/2014/main" id="{00000000-0008-0000-0C00-0000F6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503" name="Text Box 175">
          <a:extLst>
            <a:ext uri="{FF2B5EF4-FFF2-40B4-BE49-F238E27FC236}">
              <a16:creationId xmlns:a16="http://schemas.microsoft.com/office/drawing/2014/main" id="{00000000-0008-0000-0C00-0000F7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2</xdr:col>
      <xdr:colOff>1676400</xdr:colOff>
      <xdr:row>12</xdr:row>
      <xdr:rowOff>0</xdr:rowOff>
    </xdr:from>
    <xdr:to>
      <xdr:col>3</xdr:col>
      <xdr:colOff>123825</xdr:colOff>
      <xdr:row>14</xdr:row>
      <xdr:rowOff>33909</xdr:rowOff>
    </xdr:to>
    <xdr:sp macro="" textlink="">
      <xdr:nvSpPr>
        <xdr:cNvPr id="504" name="Text Box 176">
          <a:extLst>
            <a:ext uri="{FF2B5EF4-FFF2-40B4-BE49-F238E27FC236}">
              <a16:creationId xmlns:a16="http://schemas.microsoft.com/office/drawing/2014/main" id="{00000000-0008-0000-0C00-0000F8010000}"/>
            </a:ext>
          </a:extLst>
        </xdr:cNvPr>
        <xdr:cNvSpPr txBox="1">
          <a:spLocks noChangeArrowheads="1"/>
        </xdr:cNvSpPr>
      </xdr:nvSpPr>
      <xdr:spPr bwMode="auto">
        <a:xfrm>
          <a:off x="28194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05" name="Text Box 178">
          <a:extLst>
            <a:ext uri="{FF2B5EF4-FFF2-40B4-BE49-F238E27FC236}">
              <a16:creationId xmlns:a16="http://schemas.microsoft.com/office/drawing/2014/main" id="{00000000-0008-0000-0C00-0000F9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06" name="Text Box 179">
          <a:extLst>
            <a:ext uri="{FF2B5EF4-FFF2-40B4-BE49-F238E27FC236}">
              <a16:creationId xmlns:a16="http://schemas.microsoft.com/office/drawing/2014/main" id="{00000000-0008-0000-0C00-0000FA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07" name="Text Box 180">
          <a:extLst>
            <a:ext uri="{FF2B5EF4-FFF2-40B4-BE49-F238E27FC236}">
              <a16:creationId xmlns:a16="http://schemas.microsoft.com/office/drawing/2014/main" id="{00000000-0008-0000-0C00-0000FB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08" name="Text Box 181">
          <a:extLst>
            <a:ext uri="{FF2B5EF4-FFF2-40B4-BE49-F238E27FC236}">
              <a16:creationId xmlns:a16="http://schemas.microsoft.com/office/drawing/2014/main" id="{00000000-0008-0000-0C00-0000FC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09" name="Text Box 182">
          <a:extLst>
            <a:ext uri="{FF2B5EF4-FFF2-40B4-BE49-F238E27FC236}">
              <a16:creationId xmlns:a16="http://schemas.microsoft.com/office/drawing/2014/main" id="{00000000-0008-0000-0C00-0000FD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10" name="Text Box 183">
          <a:extLst>
            <a:ext uri="{FF2B5EF4-FFF2-40B4-BE49-F238E27FC236}">
              <a16:creationId xmlns:a16="http://schemas.microsoft.com/office/drawing/2014/main" id="{00000000-0008-0000-0C00-0000FE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11" name="Text Box 184">
          <a:extLst>
            <a:ext uri="{FF2B5EF4-FFF2-40B4-BE49-F238E27FC236}">
              <a16:creationId xmlns:a16="http://schemas.microsoft.com/office/drawing/2014/main" id="{00000000-0008-0000-0C00-0000FF01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12" name="Text Box 185">
          <a:extLst>
            <a:ext uri="{FF2B5EF4-FFF2-40B4-BE49-F238E27FC236}">
              <a16:creationId xmlns:a16="http://schemas.microsoft.com/office/drawing/2014/main" id="{00000000-0008-0000-0C00-000000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1685925</xdr:colOff>
      <xdr:row>12</xdr:row>
      <xdr:rowOff>0</xdr:rowOff>
    </xdr:from>
    <xdr:to>
      <xdr:col>4</xdr:col>
      <xdr:colOff>114300</xdr:colOff>
      <xdr:row>14</xdr:row>
      <xdr:rowOff>33528</xdr:rowOff>
    </xdr:to>
    <xdr:sp macro="" textlink="">
      <xdr:nvSpPr>
        <xdr:cNvPr id="513" name="Text Box 186">
          <a:extLst>
            <a:ext uri="{FF2B5EF4-FFF2-40B4-BE49-F238E27FC236}">
              <a16:creationId xmlns:a16="http://schemas.microsoft.com/office/drawing/2014/main" id="{00000000-0008-0000-0C00-000001020000}"/>
            </a:ext>
          </a:extLst>
        </xdr:cNvPr>
        <xdr:cNvSpPr txBox="1">
          <a:spLocks noChangeArrowheads="1"/>
        </xdr:cNvSpPr>
      </xdr:nvSpPr>
      <xdr:spPr bwMode="auto">
        <a:xfrm>
          <a:off x="3238500" y="485775"/>
          <a:ext cx="114300" cy="33528"/>
        </a:xfrm>
        <a:prstGeom prst="rect">
          <a:avLst/>
        </a:prstGeom>
        <a:noFill/>
        <a:ln w="9525">
          <a:noFill/>
          <a:miter lim="800000"/>
          <a:headEnd/>
          <a:tailEnd/>
        </a:ln>
      </xdr:spPr>
    </xdr:sp>
    <xdr:clientData/>
  </xdr:twoCellAnchor>
  <xdr:twoCellAnchor editAs="oneCell">
    <xdr:from>
      <xdr:col>3</xdr:col>
      <xdr:colOff>1685925</xdr:colOff>
      <xdr:row>12</xdr:row>
      <xdr:rowOff>0</xdr:rowOff>
    </xdr:from>
    <xdr:to>
      <xdr:col>4</xdr:col>
      <xdr:colOff>114300</xdr:colOff>
      <xdr:row>14</xdr:row>
      <xdr:rowOff>33528</xdr:rowOff>
    </xdr:to>
    <xdr:sp macro="" textlink="">
      <xdr:nvSpPr>
        <xdr:cNvPr id="514" name="Text Box 187">
          <a:extLst>
            <a:ext uri="{FF2B5EF4-FFF2-40B4-BE49-F238E27FC236}">
              <a16:creationId xmlns:a16="http://schemas.microsoft.com/office/drawing/2014/main" id="{00000000-0008-0000-0C00-000002020000}"/>
            </a:ext>
          </a:extLst>
        </xdr:cNvPr>
        <xdr:cNvSpPr txBox="1">
          <a:spLocks noChangeArrowheads="1"/>
        </xdr:cNvSpPr>
      </xdr:nvSpPr>
      <xdr:spPr bwMode="auto">
        <a:xfrm>
          <a:off x="3238500" y="485775"/>
          <a:ext cx="114300"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515" name="Text Box 188">
          <a:extLst>
            <a:ext uri="{FF2B5EF4-FFF2-40B4-BE49-F238E27FC236}">
              <a16:creationId xmlns:a16="http://schemas.microsoft.com/office/drawing/2014/main" id="{00000000-0008-0000-0C00-00000302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516" name="Text Box 189">
          <a:extLst>
            <a:ext uri="{FF2B5EF4-FFF2-40B4-BE49-F238E27FC236}">
              <a16:creationId xmlns:a16="http://schemas.microsoft.com/office/drawing/2014/main" id="{00000000-0008-0000-0C00-00000402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517" name="Text Box 190">
          <a:extLst>
            <a:ext uri="{FF2B5EF4-FFF2-40B4-BE49-F238E27FC236}">
              <a16:creationId xmlns:a16="http://schemas.microsoft.com/office/drawing/2014/main" id="{00000000-0008-0000-0C00-00000502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33528</xdr:rowOff>
    </xdr:to>
    <xdr:sp macro="" textlink="">
      <xdr:nvSpPr>
        <xdr:cNvPr id="518" name="Text Box 191">
          <a:extLst>
            <a:ext uri="{FF2B5EF4-FFF2-40B4-BE49-F238E27FC236}">
              <a16:creationId xmlns:a16="http://schemas.microsoft.com/office/drawing/2014/main" id="{00000000-0008-0000-0C00-000006020000}"/>
            </a:ext>
          </a:extLst>
        </xdr:cNvPr>
        <xdr:cNvSpPr txBox="1">
          <a:spLocks noChangeArrowheads="1"/>
        </xdr:cNvSpPr>
      </xdr:nvSpPr>
      <xdr:spPr bwMode="auto">
        <a:xfrm>
          <a:off x="3238500" y="485775"/>
          <a:ext cx="123825" cy="33528"/>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19" name="Text Box 192">
          <a:extLst>
            <a:ext uri="{FF2B5EF4-FFF2-40B4-BE49-F238E27FC236}">
              <a16:creationId xmlns:a16="http://schemas.microsoft.com/office/drawing/2014/main" id="{00000000-0008-0000-0C00-000007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20" name="Text Box 193">
          <a:extLst>
            <a:ext uri="{FF2B5EF4-FFF2-40B4-BE49-F238E27FC236}">
              <a16:creationId xmlns:a16="http://schemas.microsoft.com/office/drawing/2014/main" id="{00000000-0008-0000-0C00-000008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21" name="Text Box 194">
          <a:extLst>
            <a:ext uri="{FF2B5EF4-FFF2-40B4-BE49-F238E27FC236}">
              <a16:creationId xmlns:a16="http://schemas.microsoft.com/office/drawing/2014/main" id="{00000000-0008-0000-0C00-000009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22" name="Text Box 195">
          <a:extLst>
            <a:ext uri="{FF2B5EF4-FFF2-40B4-BE49-F238E27FC236}">
              <a16:creationId xmlns:a16="http://schemas.microsoft.com/office/drawing/2014/main" id="{00000000-0008-0000-0C00-00000A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12</xdr:row>
      <xdr:rowOff>0</xdr:rowOff>
    </xdr:from>
    <xdr:to>
      <xdr:col>4</xdr:col>
      <xdr:colOff>123825</xdr:colOff>
      <xdr:row>14</xdr:row>
      <xdr:rowOff>33909</xdr:rowOff>
    </xdr:to>
    <xdr:sp macro="" textlink="">
      <xdr:nvSpPr>
        <xdr:cNvPr id="523" name="Text Box 196">
          <a:extLst>
            <a:ext uri="{FF2B5EF4-FFF2-40B4-BE49-F238E27FC236}">
              <a16:creationId xmlns:a16="http://schemas.microsoft.com/office/drawing/2014/main" id="{00000000-0008-0000-0C00-00000B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524" name="Text Box 197">
          <a:extLst>
            <a:ext uri="{FF2B5EF4-FFF2-40B4-BE49-F238E27FC236}">
              <a16:creationId xmlns:a16="http://schemas.microsoft.com/office/drawing/2014/main" id="{00000000-0008-0000-0C00-00000C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525" name="Text Box 198">
          <a:extLst>
            <a:ext uri="{FF2B5EF4-FFF2-40B4-BE49-F238E27FC236}">
              <a16:creationId xmlns:a16="http://schemas.microsoft.com/office/drawing/2014/main" id="{00000000-0008-0000-0C00-00000D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526" name="Text Box 199">
          <a:extLst>
            <a:ext uri="{FF2B5EF4-FFF2-40B4-BE49-F238E27FC236}">
              <a16:creationId xmlns:a16="http://schemas.microsoft.com/office/drawing/2014/main" id="{00000000-0008-0000-0C00-00000E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527" name="Text Box 200">
          <a:extLst>
            <a:ext uri="{FF2B5EF4-FFF2-40B4-BE49-F238E27FC236}">
              <a16:creationId xmlns:a16="http://schemas.microsoft.com/office/drawing/2014/main" id="{00000000-0008-0000-0C00-00000F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528" name="Text Box 201">
          <a:extLst>
            <a:ext uri="{FF2B5EF4-FFF2-40B4-BE49-F238E27FC236}">
              <a16:creationId xmlns:a16="http://schemas.microsoft.com/office/drawing/2014/main" id="{00000000-0008-0000-0C00-000010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529" name="Text Box 202">
          <a:extLst>
            <a:ext uri="{FF2B5EF4-FFF2-40B4-BE49-F238E27FC236}">
              <a16:creationId xmlns:a16="http://schemas.microsoft.com/office/drawing/2014/main" id="{00000000-0008-0000-0C00-000011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530" name="Text Box 203">
          <a:extLst>
            <a:ext uri="{FF2B5EF4-FFF2-40B4-BE49-F238E27FC236}">
              <a16:creationId xmlns:a16="http://schemas.microsoft.com/office/drawing/2014/main" id="{00000000-0008-0000-0C00-000012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531" name="Text Box 204">
          <a:extLst>
            <a:ext uri="{FF2B5EF4-FFF2-40B4-BE49-F238E27FC236}">
              <a16:creationId xmlns:a16="http://schemas.microsoft.com/office/drawing/2014/main" id="{00000000-0008-0000-0C00-000013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1685925</xdr:colOff>
      <xdr:row>13</xdr:row>
      <xdr:rowOff>0</xdr:rowOff>
    </xdr:from>
    <xdr:to>
      <xdr:col>4</xdr:col>
      <xdr:colOff>114300</xdr:colOff>
      <xdr:row>14</xdr:row>
      <xdr:rowOff>34290</xdr:rowOff>
    </xdr:to>
    <xdr:sp macro="" textlink="">
      <xdr:nvSpPr>
        <xdr:cNvPr id="532" name="Text Box 205">
          <a:extLst>
            <a:ext uri="{FF2B5EF4-FFF2-40B4-BE49-F238E27FC236}">
              <a16:creationId xmlns:a16="http://schemas.microsoft.com/office/drawing/2014/main" id="{00000000-0008-0000-0C00-00001402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1685925</xdr:colOff>
      <xdr:row>13</xdr:row>
      <xdr:rowOff>0</xdr:rowOff>
    </xdr:from>
    <xdr:to>
      <xdr:col>4</xdr:col>
      <xdr:colOff>114300</xdr:colOff>
      <xdr:row>14</xdr:row>
      <xdr:rowOff>34290</xdr:rowOff>
    </xdr:to>
    <xdr:sp macro="" textlink="">
      <xdr:nvSpPr>
        <xdr:cNvPr id="533" name="Text Box 206">
          <a:extLst>
            <a:ext uri="{FF2B5EF4-FFF2-40B4-BE49-F238E27FC236}">
              <a16:creationId xmlns:a16="http://schemas.microsoft.com/office/drawing/2014/main" id="{00000000-0008-0000-0C00-00001502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534" name="Text Box 207">
          <a:extLst>
            <a:ext uri="{FF2B5EF4-FFF2-40B4-BE49-F238E27FC236}">
              <a16:creationId xmlns:a16="http://schemas.microsoft.com/office/drawing/2014/main" id="{00000000-0008-0000-0C00-00001602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535" name="Text Box 208">
          <a:extLst>
            <a:ext uri="{FF2B5EF4-FFF2-40B4-BE49-F238E27FC236}">
              <a16:creationId xmlns:a16="http://schemas.microsoft.com/office/drawing/2014/main" id="{00000000-0008-0000-0C00-00001702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536" name="Text Box 209">
          <a:extLst>
            <a:ext uri="{FF2B5EF4-FFF2-40B4-BE49-F238E27FC236}">
              <a16:creationId xmlns:a16="http://schemas.microsoft.com/office/drawing/2014/main" id="{00000000-0008-0000-0C00-00001802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34290</xdr:rowOff>
    </xdr:to>
    <xdr:sp macro="" textlink="">
      <xdr:nvSpPr>
        <xdr:cNvPr id="537" name="Text Box 210">
          <a:extLst>
            <a:ext uri="{FF2B5EF4-FFF2-40B4-BE49-F238E27FC236}">
              <a16:creationId xmlns:a16="http://schemas.microsoft.com/office/drawing/2014/main" id="{00000000-0008-0000-0C00-00001902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538" name="Text Box 211">
          <a:extLst>
            <a:ext uri="{FF2B5EF4-FFF2-40B4-BE49-F238E27FC236}">
              <a16:creationId xmlns:a16="http://schemas.microsoft.com/office/drawing/2014/main" id="{00000000-0008-0000-0C00-00001A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539" name="Text Box 212">
          <a:extLst>
            <a:ext uri="{FF2B5EF4-FFF2-40B4-BE49-F238E27FC236}">
              <a16:creationId xmlns:a16="http://schemas.microsoft.com/office/drawing/2014/main" id="{00000000-0008-0000-0C00-00001B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540" name="Text Box 213">
          <a:extLst>
            <a:ext uri="{FF2B5EF4-FFF2-40B4-BE49-F238E27FC236}">
              <a16:creationId xmlns:a16="http://schemas.microsoft.com/office/drawing/2014/main" id="{00000000-0008-0000-0C00-00001C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13</xdr:row>
      <xdr:rowOff>0</xdr:rowOff>
    </xdr:from>
    <xdr:to>
      <xdr:col>4</xdr:col>
      <xdr:colOff>123825</xdr:colOff>
      <xdr:row>14</xdr:row>
      <xdr:rowOff>33909</xdr:rowOff>
    </xdr:to>
    <xdr:sp macro="" textlink="">
      <xdr:nvSpPr>
        <xdr:cNvPr id="541" name="Text Box 214">
          <a:extLst>
            <a:ext uri="{FF2B5EF4-FFF2-40B4-BE49-F238E27FC236}">
              <a16:creationId xmlns:a16="http://schemas.microsoft.com/office/drawing/2014/main" id="{00000000-0008-0000-0C00-00001D020000}"/>
            </a:ext>
          </a:extLst>
        </xdr:cNvPr>
        <xdr:cNvSpPr txBox="1">
          <a:spLocks noChangeArrowheads="1"/>
        </xdr:cNvSpPr>
      </xdr:nvSpPr>
      <xdr:spPr bwMode="auto">
        <a:xfrm>
          <a:off x="3238500" y="485775"/>
          <a:ext cx="123825" cy="33909"/>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542" name="Text Box 216">
          <a:extLst>
            <a:ext uri="{FF2B5EF4-FFF2-40B4-BE49-F238E27FC236}">
              <a16:creationId xmlns:a16="http://schemas.microsoft.com/office/drawing/2014/main" id="{00000000-0008-0000-0C00-00001E02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543" name="Text Box 217">
          <a:extLst>
            <a:ext uri="{FF2B5EF4-FFF2-40B4-BE49-F238E27FC236}">
              <a16:creationId xmlns:a16="http://schemas.microsoft.com/office/drawing/2014/main" id="{00000000-0008-0000-0C00-00001F02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544" name="Text Box 218">
          <a:extLst>
            <a:ext uri="{FF2B5EF4-FFF2-40B4-BE49-F238E27FC236}">
              <a16:creationId xmlns:a16="http://schemas.microsoft.com/office/drawing/2014/main" id="{00000000-0008-0000-0C00-00002002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545" name="Text Box 219">
          <a:extLst>
            <a:ext uri="{FF2B5EF4-FFF2-40B4-BE49-F238E27FC236}">
              <a16:creationId xmlns:a16="http://schemas.microsoft.com/office/drawing/2014/main" id="{00000000-0008-0000-0C00-00002102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546" name="Text Box 220">
          <a:extLst>
            <a:ext uri="{FF2B5EF4-FFF2-40B4-BE49-F238E27FC236}">
              <a16:creationId xmlns:a16="http://schemas.microsoft.com/office/drawing/2014/main" id="{00000000-0008-0000-0C00-00002202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547" name="Text Box 221">
          <a:extLst>
            <a:ext uri="{FF2B5EF4-FFF2-40B4-BE49-F238E27FC236}">
              <a16:creationId xmlns:a16="http://schemas.microsoft.com/office/drawing/2014/main" id="{00000000-0008-0000-0C00-00002302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548" name="Text Box 222">
          <a:extLst>
            <a:ext uri="{FF2B5EF4-FFF2-40B4-BE49-F238E27FC236}">
              <a16:creationId xmlns:a16="http://schemas.microsoft.com/office/drawing/2014/main" id="{00000000-0008-0000-0C00-00002402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549" name="Text Box 223">
          <a:extLst>
            <a:ext uri="{FF2B5EF4-FFF2-40B4-BE49-F238E27FC236}">
              <a16:creationId xmlns:a16="http://schemas.microsoft.com/office/drawing/2014/main" id="{00000000-0008-0000-0C00-00002502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1685925</xdr:colOff>
      <xdr:row>14</xdr:row>
      <xdr:rowOff>0</xdr:rowOff>
    </xdr:from>
    <xdr:to>
      <xdr:col>4</xdr:col>
      <xdr:colOff>114300</xdr:colOff>
      <xdr:row>14</xdr:row>
      <xdr:rowOff>34290</xdr:rowOff>
    </xdr:to>
    <xdr:sp macro="" textlink="">
      <xdr:nvSpPr>
        <xdr:cNvPr id="550" name="Text Box 224">
          <a:extLst>
            <a:ext uri="{FF2B5EF4-FFF2-40B4-BE49-F238E27FC236}">
              <a16:creationId xmlns:a16="http://schemas.microsoft.com/office/drawing/2014/main" id="{00000000-0008-0000-0C00-000026020000}"/>
            </a:ext>
          </a:extLst>
        </xdr:cNvPr>
        <xdr:cNvSpPr txBox="1">
          <a:spLocks noChangeArrowheads="1"/>
        </xdr:cNvSpPr>
      </xdr:nvSpPr>
      <xdr:spPr bwMode="auto">
        <a:xfrm>
          <a:off x="3238500" y="485775"/>
          <a:ext cx="114300"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551" name="Text Box 226">
          <a:extLst>
            <a:ext uri="{FF2B5EF4-FFF2-40B4-BE49-F238E27FC236}">
              <a16:creationId xmlns:a16="http://schemas.microsoft.com/office/drawing/2014/main" id="{00000000-0008-0000-0C00-00002702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552" name="Text Box 227">
          <a:extLst>
            <a:ext uri="{FF2B5EF4-FFF2-40B4-BE49-F238E27FC236}">
              <a16:creationId xmlns:a16="http://schemas.microsoft.com/office/drawing/2014/main" id="{00000000-0008-0000-0C00-00002802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553" name="Text Box 228">
          <a:extLst>
            <a:ext uri="{FF2B5EF4-FFF2-40B4-BE49-F238E27FC236}">
              <a16:creationId xmlns:a16="http://schemas.microsoft.com/office/drawing/2014/main" id="{00000000-0008-0000-0C00-00002902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34290</xdr:rowOff>
    </xdr:to>
    <xdr:sp macro="" textlink="">
      <xdr:nvSpPr>
        <xdr:cNvPr id="554" name="Text Box 229">
          <a:extLst>
            <a:ext uri="{FF2B5EF4-FFF2-40B4-BE49-F238E27FC236}">
              <a16:creationId xmlns:a16="http://schemas.microsoft.com/office/drawing/2014/main" id="{00000000-0008-0000-0C00-00002A020000}"/>
            </a:ext>
          </a:extLst>
        </xdr:cNvPr>
        <xdr:cNvSpPr txBox="1">
          <a:spLocks noChangeArrowheads="1"/>
        </xdr:cNvSpPr>
      </xdr:nvSpPr>
      <xdr:spPr bwMode="auto">
        <a:xfrm>
          <a:off x="3238500" y="485775"/>
          <a:ext cx="123825" cy="34290"/>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555" name="Text Box 230">
          <a:extLst>
            <a:ext uri="{FF2B5EF4-FFF2-40B4-BE49-F238E27FC236}">
              <a16:creationId xmlns:a16="http://schemas.microsoft.com/office/drawing/2014/main" id="{00000000-0008-0000-0C00-00002B02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556" name="Text Box 231">
          <a:extLst>
            <a:ext uri="{FF2B5EF4-FFF2-40B4-BE49-F238E27FC236}">
              <a16:creationId xmlns:a16="http://schemas.microsoft.com/office/drawing/2014/main" id="{00000000-0008-0000-0C00-00002C02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557" name="Text Box 232">
          <a:extLst>
            <a:ext uri="{FF2B5EF4-FFF2-40B4-BE49-F238E27FC236}">
              <a16:creationId xmlns:a16="http://schemas.microsoft.com/office/drawing/2014/main" id="{00000000-0008-0000-0C00-00002D02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558" name="Text Box 233">
          <a:extLst>
            <a:ext uri="{FF2B5EF4-FFF2-40B4-BE49-F238E27FC236}">
              <a16:creationId xmlns:a16="http://schemas.microsoft.com/office/drawing/2014/main" id="{00000000-0008-0000-0C00-00002E02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twoCellAnchor editAs="oneCell">
    <xdr:from>
      <xdr:col>3</xdr:col>
      <xdr:colOff>1676400</xdr:colOff>
      <xdr:row>14</xdr:row>
      <xdr:rowOff>0</xdr:rowOff>
    </xdr:from>
    <xdr:to>
      <xdr:col>4</xdr:col>
      <xdr:colOff>123825</xdr:colOff>
      <xdr:row>14</xdr:row>
      <xdr:rowOff>34671</xdr:rowOff>
    </xdr:to>
    <xdr:sp macro="" textlink="">
      <xdr:nvSpPr>
        <xdr:cNvPr id="559" name="Text Box 234">
          <a:extLst>
            <a:ext uri="{FF2B5EF4-FFF2-40B4-BE49-F238E27FC236}">
              <a16:creationId xmlns:a16="http://schemas.microsoft.com/office/drawing/2014/main" id="{00000000-0008-0000-0C00-00002F020000}"/>
            </a:ext>
          </a:extLst>
        </xdr:cNvPr>
        <xdr:cNvSpPr txBox="1">
          <a:spLocks noChangeArrowheads="1"/>
        </xdr:cNvSpPr>
      </xdr:nvSpPr>
      <xdr:spPr bwMode="auto">
        <a:xfrm>
          <a:off x="3238500" y="485775"/>
          <a:ext cx="123825" cy="34671"/>
        </a:xfrm>
        <a:prstGeom prst="rect">
          <a:avLst/>
        </a:prstGeom>
        <a:noFill/>
        <a:ln w="9525">
          <a:no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1676400</xdr:colOff>
      <xdr:row>11</xdr:row>
      <xdr:rowOff>0</xdr:rowOff>
    </xdr:from>
    <xdr:to>
      <xdr:col>6</xdr:col>
      <xdr:colOff>123825</xdr:colOff>
      <xdr:row>12</xdr:row>
      <xdr:rowOff>614892</xdr:rowOff>
    </xdr:to>
    <xdr:sp macro="" textlink="">
      <xdr:nvSpPr>
        <xdr:cNvPr id="2" name="Text Box 134">
          <a:extLst>
            <a:ext uri="{FF2B5EF4-FFF2-40B4-BE49-F238E27FC236}">
              <a16:creationId xmlns:a16="http://schemas.microsoft.com/office/drawing/2014/main" id="{00000000-0008-0000-0F00-000002000000}"/>
            </a:ext>
          </a:extLst>
        </xdr:cNvPr>
        <xdr:cNvSpPr txBox="1">
          <a:spLocks noChangeArrowheads="1"/>
        </xdr:cNvSpPr>
      </xdr:nvSpPr>
      <xdr:spPr bwMode="auto">
        <a:xfrm>
          <a:off x="3095625" y="5029200"/>
          <a:ext cx="123825" cy="82867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614892</xdr:rowOff>
    </xdr:to>
    <xdr:sp macro="" textlink="">
      <xdr:nvSpPr>
        <xdr:cNvPr id="3" name="Text Box 135">
          <a:extLst>
            <a:ext uri="{FF2B5EF4-FFF2-40B4-BE49-F238E27FC236}">
              <a16:creationId xmlns:a16="http://schemas.microsoft.com/office/drawing/2014/main" id="{00000000-0008-0000-0F00-000003000000}"/>
            </a:ext>
          </a:extLst>
        </xdr:cNvPr>
        <xdr:cNvSpPr txBox="1">
          <a:spLocks noChangeArrowheads="1"/>
        </xdr:cNvSpPr>
      </xdr:nvSpPr>
      <xdr:spPr bwMode="auto">
        <a:xfrm>
          <a:off x="3095625" y="5029200"/>
          <a:ext cx="123825" cy="82867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614892</xdr:rowOff>
    </xdr:to>
    <xdr:sp macro="" textlink="">
      <xdr:nvSpPr>
        <xdr:cNvPr id="4" name="Text Box 142">
          <a:extLst>
            <a:ext uri="{FF2B5EF4-FFF2-40B4-BE49-F238E27FC236}">
              <a16:creationId xmlns:a16="http://schemas.microsoft.com/office/drawing/2014/main" id="{00000000-0008-0000-0F00-000004000000}"/>
            </a:ext>
          </a:extLst>
        </xdr:cNvPr>
        <xdr:cNvSpPr txBox="1">
          <a:spLocks noChangeArrowheads="1"/>
        </xdr:cNvSpPr>
      </xdr:nvSpPr>
      <xdr:spPr bwMode="auto">
        <a:xfrm>
          <a:off x="3095625" y="5029200"/>
          <a:ext cx="123825" cy="82867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614892</xdr:rowOff>
    </xdr:to>
    <xdr:sp macro="" textlink="">
      <xdr:nvSpPr>
        <xdr:cNvPr id="5" name="Text Box 143">
          <a:extLst>
            <a:ext uri="{FF2B5EF4-FFF2-40B4-BE49-F238E27FC236}">
              <a16:creationId xmlns:a16="http://schemas.microsoft.com/office/drawing/2014/main" id="{00000000-0008-0000-0F00-000005000000}"/>
            </a:ext>
          </a:extLst>
        </xdr:cNvPr>
        <xdr:cNvSpPr txBox="1">
          <a:spLocks noChangeArrowheads="1"/>
        </xdr:cNvSpPr>
      </xdr:nvSpPr>
      <xdr:spPr bwMode="auto">
        <a:xfrm>
          <a:off x="3095625" y="5029200"/>
          <a:ext cx="123825" cy="82867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614892</xdr:rowOff>
    </xdr:to>
    <xdr:sp macro="" textlink="">
      <xdr:nvSpPr>
        <xdr:cNvPr id="6" name="Text Box 144">
          <a:extLst>
            <a:ext uri="{FF2B5EF4-FFF2-40B4-BE49-F238E27FC236}">
              <a16:creationId xmlns:a16="http://schemas.microsoft.com/office/drawing/2014/main" id="{00000000-0008-0000-0F00-000006000000}"/>
            </a:ext>
          </a:extLst>
        </xdr:cNvPr>
        <xdr:cNvSpPr txBox="1">
          <a:spLocks noChangeArrowheads="1"/>
        </xdr:cNvSpPr>
      </xdr:nvSpPr>
      <xdr:spPr bwMode="auto">
        <a:xfrm>
          <a:off x="3095625" y="5029200"/>
          <a:ext cx="123825" cy="82867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614892</xdr:rowOff>
    </xdr:to>
    <xdr:sp macro="" textlink="">
      <xdr:nvSpPr>
        <xdr:cNvPr id="7" name="Text Box 145">
          <a:extLst>
            <a:ext uri="{FF2B5EF4-FFF2-40B4-BE49-F238E27FC236}">
              <a16:creationId xmlns:a16="http://schemas.microsoft.com/office/drawing/2014/main" id="{00000000-0008-0000-0F00-000007000000}"/>
            </a:ext>
          </a:extLst>
        </xdr:cNvPr>
        <xdr:cNvSpPr txBox="1">
          <a:spLocks noChangeArrowheads="1"/>
        </xdr:cNvSpPr>
      </xdr:nvSpPr>
      <xdr:spPr bwMode="auto">
        <a:xfrm>
          <a:off x="3095625" y="5029200"/>
          <a:ext cx="123825" cy="82867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614892</xdr:rowOff>
    </xdr:to>
    <xdr:sp macro="" textlink="">
      <xdr:nvSpPr>
        <xdr:cNvPr id="8" name="Text Box 146">
          <a:extLst>
            <a:ext uri="{FF2B5EF4-FFF2-40B4-BE49-F238E27FC236}">
              <a16:creationId xmlns:a16="http://schemas.microsoft.com/office/drawing/2014/main" id="{00000000-0008-0000-0F00-000008000000}"/>
            </a:ext>
          </a:extLst>
        </xdr:cNvPr>
        <xdr:cNvSpPr txBox="1">
          <a:spLocks noChangeArrowheads="1"/>
        </xdr:cNvSpPr>
      </xdr:nvSpPr>
      <xdr:spPr bwMode="auto">
        <a:xfrm>
          <a:off x="3095625" y="5029200"/>
          <a:ext cx="123825" cy="82867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614892</xdr:rowOff>
    </xdr:to>
    <xdr:sp macro="" textlink="">
      <xdr:nvSpPr>
        <xdr:cNvPr id="9" name="Text Box 147">
          <a:extLst>
            <a:ext uri="{FF2B5EF4-FFF2-40B4-BE49-F238E27FC236}">
              <a16:creationId xmlns:a16="http://schemas.microsoft.com/office/drawing/2014/main" id="{00000000-0008-0000-0F00-000009000000}"/>
            </a:ext>
          </a:extLst>
        </xdr:cNvPr>
        <xdr:cNvSpPr txBox="1">
          <a:spLocks noChangeArrowheads="1"/>
        </xdr:cNvSpPr>
      </xdr:nvSpPr>
      <xdr:spPr bwMode="auto">
        <a:xfrm>
          <a:off x="3095625" y="5029200"/>
          <a:ext cx="123825" cy="828675"/>
        </a:xfrm>
        <a:prstGeom prst="rect">
          <a:avLst/>
        </a:prstGeom>
        <a:noFill/>
        <a:ln w="9525">
          <a:noFill/>
          <a:miter lim="800000"/>
          <a:headEnd/>
          <a:tailEnd/>
        </a:ln>
      </xdr:spPr>
    </xdr:sp>
    <xdr:clientData/>
  </xdr:twoCellAnchor>
  <xdr:twoCellAnchor editAs="oneCell">
    <xdr:from>
      <xdr:col>1</xdr:col>
      <xdr:colOff>1685925</xdr:colOff>
      <xdr:row>11</xdr:row>
      <xdr:rowOff>0</xdr:rowOff>
    </xdr:from>
    <xdr:to>
      <xdr:col>6</xdr:col>
      <xdr:colOff>114300</xdr:colOff>
      <xdr:row>12</xdr:row>
      <xdr:rowOff>710142</xdr:rowOff>
    </xdr:to>
    <xdr:sp macro="" textlink="">
      <xdr:nvSpPr>
        <xdr:cNvPr id="10" name="Text Box 136">
          <a:extLst>
            <a:ext uri="{FF2B5EF4-FFF2-40B4-BE49-F238E27FC236}">
              <a16:creationId xmlns:a16="http://schemas.microsoft.com/office/drawing/2014/main" id="{00000000-0008-0000-0F00-00000A000000}"/>
            </a:ext>
          </a:extLst>
        </xdr:cNvPr>
        <xdr:cNvSpPr txBox="1">
          <a:spLocks noChangeArrowheads="1"/>
        </xdr:cNvSpPr>
      </xdr:nvSpPr>
      <xdr:spPr bwMode="auto">
        <a:xfrm>
          <a:off x="3095625" y="5029200"/>
          <a:ext cx="114300" cy="923925"/>
        </a:xfrm>
        <a:prstGeom prst="rect">
          <a:avLst/>
        </a:prstGeom>
        <a:noFill/>
        <a:ln w="9525">
          <a:noFill/>
          <a:miter lim="800000"/>
          <a:headEnd/>
          <a:tailEnd/>
        </a:ln>
      </xdr:spPr>
    </xdr:sp>
    <xdr:clientData/>
  </xdr:twoCellAnchor>
  <xdr:twoCellAnchor editAs="oneCell">
    <xdr:from>
      <xdr:col>1</xdr:col>
      <xdr:colOff>1685925</xdr:colOff>
      <xdr:row>11</xdr:row>
      <xdr:rowOff>0</xdr:rowOff>
    </xdr:from>
    <xdr:to>
      <xdr:col>6</xdr:col>
      <xdr:colOff>114300</xdr:colOff>
      <xdr:row>12</xdr:row>
      <xdr:rowOff>710142</xdr:rowOff>
    </xdr:to>
    <xdr:sp macro="" textlink="">
      <xdr:nvSpPr>
        <xdr:cNvPr id="11" name="Text Box 137">
          <a:extLst>
            <a:ext uri="{FF2B5EF4-FFF2-40B4-BE49-F238E27FC236}">
              <a16:creationId xmlns:a16="http://schemas.microsoft.com/office/drawing/2014/main" id="{00000000-0008-0000-0F00-00000B000000}"/>
            </a:ext>
          </a:extLst>
        </xdr:cNvPr>
        <xdr:cNvSpPr txBox="1">
          <a:spLocks noChangeArrowheads="1"/>
        </xdr:cNvSpPr>
      </xdr:nvSpPr>
      <xdr:spPr bwMode="auto">
        <a:xfrm>
          <a:off x="3095625" y="5029200"/>
          <a:ext cx="114300" cy="92392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710142</xdr:rowOff>
    </xdr:to>
    <xdr:sp macro="" textlink="">
      <xdr:nvSpPr>
        <xdr:cNvPr id="12" name="Text Box 150">
          <a:extLst>
            <a:ext uri="{FF2B5EF4-FFF2-40B4-BE49-F238E27FC236}">
              <a16:creationId xmlns:a16="http://schemas.microsoft.com/office/drawing/2014/main" id="{00000000-0008-0000-0F00-00000C000000}"/>
            </a:ext>
          </a:extLst>
        </xdr:cNvPr>
        <xdr:cNvSpPr txBox="1">
          <a:spLocks noChangeArrowheads="1"/>
        </xdr:cNvSpPr>
      </xdr:nvSpPr>
      <xdr:spPr bwMode="auto">
        <a:xfrm>
          <a:off x="3095625" y="5029200"/>
          <a:ext cx="123825" cy="92392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710142</xdr:rowOff>
    </xdr:to>
    <xdr:sp macro="" textlink="">
      <xdr:nvSpPr>
        <xdr:cNvPr id="13" name="Text Box 151">
          <a:extLst>
            <a:ext uri="{FF2B5EF4-FFF2-40B4-BE49-F238E27FC236}">
              <a16:creationId xmlns:a16="http://schemas.microsoft.com/office/drawing/2014/main" id="{00000000-0008-0000-0F00-00000D000000}"/>
            </a:ext>
          </a:extLst>
        </xdr:cNvPr>
        <xdr:cNvSpPr txBox="1">
          <a:spLocks noChangeArrowheads="1"/>
        </xdr:cNvSpPr>
      </xdr:nvSpPr>
      <xdr:spPr bwMode="auto">
        <a:xfrm>
          <a:off x="3095625" y="5029200"/>
          <a:ext cx="123825" cy="92392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710142</xdr:rowOff>
    </xdr:to>
    <xdr:sp macro="" textlink="">
      <xdr:nvSpPr>
        <xdr:cNvPr id="14" name="Text Box 152">
          <a:extLst>
            <a:ext uri="{FF2B5EF4-FFF2-40B4-BE49-F238E27FC236}">
              <a16:creationId xmlns:a16="http://schemas.microsoft.com/office/drawing/2014/main" id="{00000000-0008-0000-0F00-00000E000000}"/>
            </a:ext>
          </a:extLst>
        </xdr:cNvPr>
        <xdr:cNvSpPr txBox="1">
          <a:spLocks noChangeArrowheads="1"/>
        </xdr:cNvSpPr>
      </xdr:nvSpPr>
      <xdr:spPr bwMode="auto">
        <a:xfrm>
          <a:off x="3095625" y="5029200"/>
          <a:ext cx="123825" cy="92392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710142</xdr:rowOff>
    </xdr:to>
    <xdr:sp macro="" textlink="">
      <xdr:nvSpPr>
        <xdr:cNvPr id="15" name="Text Box 153">
          <a:extLst>
            <a:ext uri="{FF2B5EF4-FFF2-40B4-BE49-F238E27FC236}">
              <a16:creationId xmlns:a16="http://schemas.microsoft.com/office/drawing/2014/main" id="{00000000-0008-0000-0F00-00000F000000}"/>
            </a:ext>
          </a:extLst>
        </xdr:cNvPr>
        <xdr:cNvSpPr txBox="1">
          <a:spLocks noChangeArrowheads="1"/>
        </xdr:cNvSpPr>
      </xdr:nvSpPr>
      <xdr:spPr bwMode="auto">
        <a:xfrm>
          <a:off x="3095625" y="5029200"/>
          <a:ext cx="123825" cy="92392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614892</xdr:rowOff>
    </xdr:to>
    <xdr:sp macro="" textlink="">
      <xdr:nvSpPr>
        <xdr:cNvPr id="16" name="Text Box 154">
          <a:extLst>
            <a:ext uri="{FF2B5EF4-FFF2-40B4-BE49-F238E27FC236}">
              <a16:creationId xmlns:a16="http://schemas.microsoft.com/office/drawing/2014/main" id="{00000000-0008-0000-0F00-000010000000}"/>
            </a:ext>
          </a:extLst>
        </xdr:cNvPr>
        <xdr:cNvSpPr txBox="1">
          <a:spLocks noChangeArrowheads="1"/>
        </xdr:cNvSpPr>
      </xdr:nvSpPr>
      <xdr:spPr bwMode="auto">
        <a:xfrm>
          <a:off x="3095625" y="5029200"/>
          <a:ext cx="123825" cy="82867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614892</xdr:rowOff>
    </xdr:to>
    <xdr:sp macro="" textlink="">
      <xdr:nvSpPr>
        <xdr:cNvPr id="17" name="Text Box 155">
          <a:extLst>
            <a:ext uri="{FF2B5EF4-FFF2-40B4-BE49-F238E27FC236}">
              <a16:creationId xmlns:a16="http://schemas.microsoft.com/office/drawing/2014/main" id="{00000000-0008-0000-0F00-000011000000}"/>
            </a:ext>
          </a:extLst>
        </xdr:cNvPr>
        <xdr:cNvSpPr txBox="1">
          <a:spLocks noChangeArrowheads="1"/>
        </xdr:cNvSpPr>
      </xdr:nvSpPr>
      <xdr:spPr bwMode="auto">
        <a:xfrm>
          <a:off x="3095625" y="5029200"/>
          <a:ext cx="123825" cy="828675"/>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614892</xdr:rowOff>
    </xdr:to>
    <xdr:sp macro="" textlink="">
      <xdr:nvSpPr>
        <xdr:cNvPr id="18" name="Text Box 156">
          <a:extLst>
            <a:ext uri="{FF2B5EF4-FFF2-40B4-BE49-F238E27FC236}">
              <a16:creationId xmlns:a16="http://schemas.microsoft.com/office/drawing/2014/main" id="{00000000-0008-0000-0F00-000012000000}"/>
            </a:ext>
          </a:extLst>
        </xdr:cNvPr>
        <xdr:cNvSpPr txBox="1">
          <a:spLocks noChangeArrowheads="1"/>
        </xdr:cNvSpPr>
      </xdr:nvSpPr>
      <xdr:spPr bwMode="auto">
        <a:xfrm>
          <a:off x="3095625" y="5029200"/>
          <a:ext cx="123825" cy="82867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614892</xdr:rowOff>
    </xdr:to>
    <xdr:sp macro="" textlink="">
      <xdr:nvSpPr>
        <xdr:cNvPr id="19" name="Text Box 159">
          <a:extLst>
            <a:ext uri="{FF2B5EF4-FFF2-40B4-BE49-F238E27FC236}">
              <a16:creationId xmlns:a16="http://schemas.microsoft.com/office/drawing/2014/main" id="{00000000-0008-0000-0F00-000013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614892</xdr:rowOff>
    </xdr:to>
    <xdr:sp macro="" textlink="">
      <xdr:nvSpPr>
        <xdr:cNvPr id="20" name="Text Box 160">
          <a:extLst>
            <a:ext uri="{FF2B5EF4-FFF2-40B4-BE49-F238E27FC236}">
              <a16:creationId xmlns:a16="http://schemas.microsoft.com/office/drawing/2014/main" id="{00000000-0008-0000-0F00-000014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614892</xdr:rowOff>
    </xdr:to>
    <xdr:sp macro="" textlink="">
      <xdr:nvSpPr>
        <xdr:cNvPr id="21" name="Text Box 161">
          <a:extLst>
            <a:ext uri="{FF2B5EF4-FFF2-40B4-BE49-F238E27FC236}">
              <a16:creationId xmlns:a16="http://schemas.microsoft.com/office/drawing/2014/main" id="{00000000-0008-0000-0F00-000015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614892</xdr:rowOff>
    </xdr:to>
    <xdr:sp macro="" textlink="">
      <xdr:nvSpPr>
        <xdr:cNvPr id="22" name="Text Box 162">
          <a:extLst>
            <a:ext uri="{FF2B5EF4-FFF2-40B4-BE49-F238E27FC236}">
              <a16:creationId xmlns:a16="http://schemas.microsoft.com/office/drawing/2014/main" id="{00000000-0008-0000-0F00-000016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614892</xdr:rowOff>
    </xdr:to>
    <xdr:sp macro="" textlink="">
      <xdr:nvSpPr>
        <xdr:cNvPr id="23" name="Text Box 163">
          <a:extLst>
            <a:ext uri="{FF2B5EF4-FFF2-40B4-BE49-F238E27FC236}">
              <a16:creationId xmlns:a16="http://schemas.microsoft.com/office/drawing/2014/main" id="{00000000-0008-0000-0F00-000017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614892</xdr:rowOff>
    </xdr:to>
    <xdr:sp macro="" textlink="">
      <xdr:nvSpPr>
        <xdr:cNvPr id="24" name="Text Box 164">
          <a:extLst>
            <a:ext uri="{FF2B5EF4-FFF2-40B4-BE49-F238E27FC236}">
              <a16:creationId xmlns:a16="http://schemas.microsoft.com/office/drawing/2014/main" id="{00000000-0008-0000-0F00-000018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614892</xdr:rowOff>
    </xdr:to>
    <xdr:sp macro="" textlink="">
      <xdr:nvSpPr>
        <xdr:cNvPr id="25" name="Text Box 165">
          <a:extLst>
            <a:ext uri="{FF2B5EF4-FFF2-40B4-BE49-F238E27FC236}">
              <a16:creationId xmlns:a16="http://schemas.microsoft.com/office/drawing/2014/main" id="{00000000-0008-0000-0F00-000019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614892</xdr:rowOff>
    </xdr:to>
    <xdr:sp macro="" textlink="">
      <xdr:nvSpPr>
        <xdr:cNvPr id="26" name="Text Box 166">
          <a:extLst>
            <a:ext uri="{FF2B5EF4-FFF2-40B4-BE49-F238E27FC236}">
              <a16:creationId xmlns:a16="http://schemas.microsoft.com/office/drawing/2014/main" id="{00000000-0008-0000-0F00-00001A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114300</xdr:colOff>
      <xdr:row>12</xdr:row>
      <xdr:rowOff>710142</xdr:rowOff>
    </xdr:to>
    <xdr:sp macro="" textlink="">
      <xdr:nvSpPr>
        <xdr:cNvPr id="27" name="Text Box 167">
          <a:extLst>
            <a:ext uri="{FF2B5EF4-FFF2-40B4-BE49-F238E27FC236}">
              <a16:creationId xmlns:a16="http://schemas.microsoft.com/office/drawing/2014/main" id="{00000000-0008-0000-0F00-00001B000000}"/>
            </a:ext>
          </a:extLst>
        </xdr:cNvPr>
        <xdr:cNvSpPr txBox="1">
          <a:spLocks noChangeArrowheads="1"/>
        </xdr:cNvSpPr>
      </xdr:nvSpPr>
      <xdr:spPr bwMode="auto">
        <a:xfrm>
          <a:off x="6057900" y="5029200"/>
          <a:ext cx="114300" cy="92392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114300</xdr:colOff>
      <xdr:row>12</xdr:row>
      <xdr:rowOff>710142</xdr:rowOff>
    </xdr:to>
    <xdr:sp macro="" textlink="">
      <xdr:nvSpPr>
        <xdr:cNvPr id="28" name="Text Box 168">
          <a:extLst>
            <a:ext uri="{FF2B5EF4-FFF2-40B4-BE49-F238E27FC236}">
              <a16:creationId xmlns:a16="http://schemas.microsoft.com/office/drawing/2014/main" id="{00000000-0008-0000-0F00-00001C000000}"/>
            </a:ext>
          </a:extLst>
        </xdr:cNvPr>
        <xdr:cNvSpPr txBox="1">
          <a:spLocks noChangeArrowheads="1"/>
        </xdr:cNvSpPr>
      </xdr:nvSpPr>
      <xdr:spPr bwMode="auto">
        <a:xfrm>
          <a:off x="6057900" y="5029200"/>
          <a:ext cx="114300" cy="92392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710142</xdr:rowOff>
    </xdr:to>
    <xdr:sp macro="" textlink="">
      <xdr:nvSpPr>
        <xdr:cNvPr id="29" name="Text Box 169">
          <a:extLst>
            <a:ext uri="{FF2B5EF4-FFF2-40B4-BE49-F238E27FC236}">
              <a16:creationId xmlns:a16="http://schemas.microsoft.com/office/drawing/2014/main" id="{00000000-0008-0000-0F00-00001D000000}"/>
            </a:ext>
          </a:extLst>
        </xdr:cNvPr>
        <xdr:cNvSpPr txBox="1">
          <a:spLocks noChangeArrowheads="1"/>
        </xdr:cNvSpPr>
      </xdr:nvSpPr>
      <xdr:spPr bwMode="auto">
        <a:xfrm>
          <a:off x="6057900" y="5029200"/>
          <a:ext cx="123825" cy="92392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710142</xdr:rowOff>
    </xdr:to>
    <xdr:sp macro="" textlink="">
      <xdr:nvSpPr>
        <xdr:cNvPr id="30" name="Text Box 170">
          <a:extLst>
            <a:ext uri="{FF2B5EF4-FFF2-40B4-BE49-F238E27FC236}">
              <a16:creationId xmlns:a16="http://schemas.microsoft.com/office/drawing/2014/main" id="{00000000-0008-0000-0F00-00001E000000}"/>
            </a:ext>
          </a:extLst>
        </xdr:cNvPr>
        <xdr:cNvSpPr txBox="1">
          <a:spLocks noChangeArrowheads="1"/>
        </xdr:cNvSpPr>
      </xdr:nvSpPr>
      <xdr:spPr bwMode="auto">
        <a:xfrm>
          <a:off x="6057900" y="5029200"/>
          <a:ext cx="123825" cy="92392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710142</xdr:rowOff>
    </xdr:to>
    <xdr:sp macro="" textlink="">
      <xdr:nvSpPr>
        <xdr:cNvPr id="31" name="Text Box 171">
          <a:extLst>
            <a:ext uri="{FF2B5EF4-FFF2-40B4-BE49-F238E27FC236}">
              <a16:creationId xmlns:a16="http://schemas.microsoft.com/office/drawing/2014/main" id="{00000000-0008-0000-0F00-00001F000000}"/>
            </a:ext>
          </a:extLst>
        </xdr:cNvPr>
        <xdr:cNvSpPr txBox="1">
          <a:spLocks noChangeArrowheads="1"/>
        </xdr:cNvSpPr>
      </xdr:nvSpPr>
      <xdr:spPr bwMode="auto">
        <a:xfrm>
          <a:off x="6057900" y="5029200"/>
          <a:ext cx="123825" cy="92392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710142</xdr:rowOff>
    </xdr:to>
    <xdr:sp macro="" textlink="">
      <xdr:nvSpPr>
        <xdr:cNvPr id="32" name="Text Box 172">
          <a:extLst>
            <a:ext uri="{FF2B5EF4-FFF2-40B4-BE49-F238E27FC236}">
              <a16:creationId xmlns:a16="http://schemas.microsoft.com/office/drawing/2014/main" id="{00000000-0008-0000-0F00-000020000000}"/>
            </a:ext>
          </a:extLst>
        </xdr:cNvPr>
        <xdr:cNvSpPr txBox="1">
          <a:spLocks noChangeArrowheads="1"/>
        </xdr:cNvSpPr>
      </xdr:nvSpPr>
      <xdr:spPr bwMode="auto">
        <a:xfrm>
          <a:off x="6057900" y="5029200"/>
          <a:ext cx="123825" cy="92392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614892</xdr:rowOff>
    </xdr:to>
    <xdr:sp macro="" textlink="">
      <xdr:nvSpPr>
        <xdr:cNvPr id="33" name="Text Box 173">
          <a:extLst>
            <a:ext uri="{FF2B5EF4-FFF2-40B4-BE49-F238E27FC236}">
              <a16:creationId xmlns:a16="http://schemas.microsoft.com/office/drawing/2014/main" id="{00000000-0008-0000-0F00-000021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614892</xdr:rowOff>
    </xdr:to>
    <xdr:sp macro="" textlink="">
      <xdr:nvSpPr>
        <xdr:cNvPr id="34" name="Text Box 174">
          <a:extLst>
            <a:ext uri="{FF2B5EF4-FFF2-40B4-BE49-F238E27FC236}">
              <a16:creationId xmlns:a16="http://schemas.microsoft.com/office/drawing/2014/main" id="{00000000-0008-0000-0F00-000022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614892</xdr:rowOff>
    </xdr:to>
    <xdr:sp macro="" textlink="">
      <xdr:nvSpPr>
        <xdr:cNvPr id="35" name="Text Box 175">
          <a:extLst>
            <a:ext uri="{FF2B5EF4-FFF2-40B4-BE49-F238E27FC236}">
              <a16:creationId xmlns:a16="http://schemas.microsoft.com/office/drawing/2014/main" id="{00000000-0008-0000-0F00-000023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614892</xdr:rowOff>
    </xdr:to>
    <xdr:sp macro="" textlink="">
      <xdr:nvSpPr>
        <xdr:cNvPr id="36" name="Text Box 176">
          <a:extLst>
            <a:ext uri="{FF2B5EF4-FFF2-40B4-BE49-F238E27FC236}">
              <a16:creationId xmlns:a16="http://schemas.microsoft.com/office/drawing/2014/main" id="{00000000-0008-0000-0F00-000024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614892</xdr:rowOff>
    </xdr:to>
    <xdr:sp macro="" textlink="">
      <xdr:nvSpPr>
        <xdr:cNvPr id="37" name="Text Box 178">
          <a:extLst>
            <a:ext uri="{FF2B5EF4-FFF2-40B4-BE49-F238E27FC236}">
              <a16:creationId xmlns:a16="http://schemas.microsoft.com/office/drawing/2014/main" id="{00000000-0008-0000-0F00-000025000000}"/>
            </a:ext>
          </a:extLst>
        </xdr:cNvPr>
        <xdr:cNvSpPr txBox="1">
          <a:spLocks noChangeArrowheads="1"/>
        </xdr:cNvSpPr>
      </xdr:nvSpPr>
      <xdr:spPr bwMode="auto">
        <a:xfrm>
          <a:off x="5000625" y="5029200"/>
          <a:ext cx="123825" cy="82867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614892</xdr:rowOff>
    </xdr:to>
    <xdr:sp macro="" textlink="">
      <xdr:nvSpPr>
        <xdr:cNvPr id="38" name="Text Box 179">
          <a:extLst>
            <a:ext uri="{FF2B5EF4-FFF2-40B4-BE49-F238E27FC236}">
              <a16:creationId xmlns:a16="http://schemas.microsoft.com/office/drawing/2014/main" id="{00000000-0008-0000-0F00-000026000000}"/>
            </a:ext>
          </a:extLst>
        </xdr:cNvPr>
        <xdr:cNvSpPr txBox="1">
          <a:spLocks noChangeArrowheads="1"/>
        </xdr:cNvSpPr>
      </xdr:nvSpPr>
      <xdr:spPr bwMode="auto">
        <a:xfrm>
          <a:off x="5000625" y="5029200"/>
          <a:ext cx="123825" cy="82867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614892</xdr:rowOff>
    </xdr:to>
    <xdr:sp macro="" textlink="">
      <xdr:nvSpPr>
        <xdr:cNvPr id="39" name="Text Box 180">
          <a:extLst>
            <a:ext uri="{FF2B5EF4-FFF2-40B4-BE49-F238E27FC236}">
              <a16:creationId xmlns:a16="http://schemas.microsoft.com/office/drawing/2014/main" id="{00000000-0008-0000-0F00-000027000000}"/>
            </a:ext>
          </a:extLst>
        </xdr:cNvPr>
        <xdr:cNvSpPr txBox="1">
          <a:spLocks noChangeArrowheads="1"/>
        </xdr:cNvSpPr>
      </xdr:nvSpPr>
      <xdr:spPr bwMode="auto">
        <a:xfrm>
          <a:off x="5000625" y="5029200"/>
          <a:ext cx="123825" cy="82867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614892</xdr:rowOff>
    </xdr:to>
    <xdr:sp macro="" textlink="">
      <xdr:nvSpPr>
        <xdr:cNvPr id="40" name="Text Box 181">
          <a:extLst>
            <a:ext uri="{FF2B5EF4-FFF2-40B4-BE49-F238E27FC236}">
              <a16:creationId xmlns:a16="http://schemas.microsoft.com/office/drawing/2014/main" id="{00000000-0008-0000-0F00-000028000000}"/>
            </a:ext>
          </a:extLst>
        </xdr:cNvPr>
        <xdr:cNvSpPr txBox="1">
          <a:spLocks noChangeArrowheads="1"/>
        </xdr:cNvSpPr>
      </xdr:nvSpPr>
      <xdr:spPr bwMode="auto">
        <a:xfrm>
          <a:off x="5000625" y="5029200"/>
          <a:ext cx="123825" cy="82867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614892</xdr:rowOff>
    </xdr:to>
    <xdr:sp macro="" textlink="">
      <xdr:nvSpPr>
        <xdr:cNvPr id="41" name="Text Box 182">
          <a:extLst>
            <a:ext uri="{FF2B5EF4-FFF2-40B4-BE49-F238E27FC236}">
              <a16:creationId xmlns:a16="http://schemas.microsoft.com/office/drawing/2014/main" id="{00000000-0008-0000-0F00-000029000000}"/>
            </a:ext>
          </a:extLst>
        </xdr:cNvPr>
        <xdr:cNvSpPr txBox="1">
          <a:spLocks noChangeArrowheads="1"/>
        </xdr:cNvSpPr>
      </xdr:nvSpPr>
      <xdr:spPr bwMode="auto">
        <a:xfrm>
          <a:off x="5000625" y="5029200"/>
          <a:ext cx="123825" cy="82867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614892</xdr:rowOff>
    </xdr:to>
    <xdr:sp macro="" textlink="">
      <xdr:nvSpPr>
        <xdr:cNvPr id="42" name="Text Box 183">
          <a:extLst>
            <a:ext uri="{FF2B5EF4-FFF2-40B4-BE49-F238E27FC236}">
              <a16:creationId xmlns:a16="http://schemas.microsoft.com/office/drawing/2014/main" id="{00000000-0008-0000-0F00-00002A000000}"/>
            </a:ext>
          </a:extLst>
        </xdr:cNvPr>
        <xdr:cNvSpPr txBox="1">
          <a:spLocks noChangeArrowheads="1"/>
        </xdr:cNvSpPr>
      </xdr:nvSpPr>
      <xdr:spPr bwMode="auto">
        <a:xfrm>
          <a:off x="5000625" y="5029200"/>
          <a:ext cx="123825" cy="82867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614892</xdr:rowOff>
    </xdr:to>
    <xdr:sp macro="" textlink="">
      <xdr:nvSpPr>
        <xdr:cNvPr id="43" name="Text Box 184">
          <a:extLst>
            <a:ext uri="{FF2B5EF4-FFF2-40B4-BE49-F238E27FC236}">
              <a16:creationId xmlns:a16="http://schemas.microsoft.com/office/drawing/2014/main" id="{00000000-0008-0000-0F00-00002B000000}"/>
            </a:ext>
          </a:extLst>
        </xdr:cNvPr>
        <xdr:cNvSpPr txBox="1">
          <a:spLocks noChangeArrowheads="1"/>
        </xdr:cNvSpPr>
      </xdr:nvSpPr>
      <xdr:spPr bwMode="auto">
        <a:xfrm>
          <a:off x="5000625" y="5029200"/>
          <a:ext cx="123825" cy="82867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614892</xdr:rowOff>
    </xdr:to>
    <xdr:sp macro="" textlink="">
      <xdr:nvSpPr>
        <xdr:cNvPr id="44" name="Text Box 185">
          <a:extLst>
            <a:ext uri="{FF2B5EF4-FFF2-40B4-BE49-F238E27FC236}">
              <a16:creationId xmlns:a16="http://schemas.microsoft.com/office/drawing/2014/main" id="{00000000-0008-0000-0F00-00002C000000}"/>
            </a:ext>
          </a:extLst>
        </xdr:cNvPr>
        <xdr:cNvSpPr txBox="1">
          <a:spLocks noChangeArrowheads="1"/>
        </xdr:cNvSpPr>
      </xdr:nvSpPr>
      <xdr:spPr bwMode="auto">
        <a:xfrm>
          <a:off x="5000625" y="5029200"/>
          <a:ext cx="123825" cy="82867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114300</xdr:colOff>
      <xdr:row>12</xdr:row>
      <xdr:rowOff>710142</xdr:rowOff>
    </xdr:to>
    <xdr:sp macro="" textlink="">
      <xdr:nvSpPr>
        <xdr:cNvPr id="45" name="Text Box 186">
          <a:extLst>
            <a:ext uri="{FF2B5EF4-FFF2-40B4-BE49-F238E27FC236}">
              <a16:creationId xmlns:a16="http://schemas.microsoft.com/office/drawing/2014/main" id="{00000000-0008-0000-0F00-00002D000000}"/>
            </a:ext>
          </a:extLst>
        </xdr:cNvPr>
        <xdr:cNvSpPr txBox="1">
          <a:spLocks noChangeArrowheads="1"/>
        </xdr:cNvSpPr>
      </xdr:nvSpPr>
      <xdr:spPr bwMode="auto">
        <a:xfrm>
          <a:off x="5000625" y="5029200"/>
          <a:ext cx="114300" cy="92392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114300</xdr:colOff>
      <xdr:row>12</xdr:row>
      <xdr:rowOff>710142</xdr:rowOff>
    </xdr:to>
    <xdr:sp macro="" textlink="">
      <xdr:nvSpPr>
        <xdr:cNvPr id="46" name="Text Box 187">
          <a:extLst>
            <a:ext uri="{FF2B5EF4-FFF2-40B4-BE49-F238E27FC236}">
              <a16:creationId xmlns:a16="http://schemas.microsoft.com/office/drawing/2014/main" id="{00000000-0008-0000-0F00-00002E000000}"/>
            </a:ext>
          </a:extLst>
        </xdr:cNvPr>
        <xdr:cNvSpPr txBox="1">
          <a:spLocks noChangeArrowheads="1"/>
        </xdr:cNvSpPr>
      </xdr:nvSpPr>
      <xdr:spPr bwMode="auto">
        <a:xfrm>
          <a:off x="5000625" y="5029200"/>
          <a:ext cx="114300" cy="92392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710142</xdr:rowOff>
    </xdr:to>
    <xdr:sp macro="" textlink="">
      <xdr:nvSpPr>
        <xdr:cNvPr id="47" name="Text Box 188">
          <a:extLst>
            <a:ext uri="{FF2B5EF4-FFF2-40B4-BE49-F238E27FC236}">
              <a16:creationId xmlns:a16="http://schemas.microsoft.com/office/drawing/2014/main" id="{00000000-0008-0000-0F00-00002F000000}"/>
            </a:ext>
          </a:extLst>
        </xdr:cNvPr>
        <xdr:cNvSpPr txBox="1">
          <a:spLocks noChangeArrowheads="1"/>
        </xdr:cNvSpPr>
      </xdr:nvSpPr>
      <xdr:spPr bwMode="auto">
        <a:xfrm>
          <a:off x="5000625" y="5029200"/>
          <a:ext cx="123825" cy="92392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710142</xdr:rowOff>
    </xdr:to>
    <xdr:sp macro="" textlink="">
      <xdr:nvSpPr>
        <xdr:cNvPr id="48" name="Text Box 189">
          <a:extLst>
            <a:ext uri="{FF2B5EF4-FFF2-40B4-BE49-F238E27FC236}">
              <a16:creationId xmlns:a16="http://schemas.microsoft.com/office/drawing/2014/main" id="{00000000-0008-0000-0F00-000030000000}"/>
            </a:ext>
          </a:extLst>
        </xdr:cNvPr>
        <xdr:cNvSpPr txBox="1">
          <a:spLocks noChangeArrowheads="1"/>
        </xdr:cNvSpPr>
      </xdr:nvSpPr>
      <xdr:spPr bwMode="auto">
        <a:xfrm>
          <a:off x="5000625" y="5029200"/>
          <a:ext cx="123825" cy="92392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710142</xdr:rowOff>
    </xdr:to>
    <xdr:sp macro="" textlink="">
      <xdr:nvSpPr>
        <xdr:cNvPr id="49" name="Text Box 190">
          <a:extLst>
            <a:ext uri="{FF2B5EF4-FFF2-40B4-BE49-F238E27FC236}">
              <a16:creationId xmlns:a16="http://schemas.microsoft.com/office/drawing/2014/main" id="{00000000-0008-0000-0F00-000031000000}"/>
            </a:ext>
          </a:extLst>
        </xdr:cNvPr>
        <xdr:cNvSpPr txBox="1">
          <a:spLocks noChangeArrowheads="1"/>
        </xdr:cNvSpPr>
      </xdr:nvSpPr>
      <xdr:spPr bwMode="auto">
        <a:xfrm>
          <a:off x="5000625" y="5029200"/>
          <a:ext cx="123825" cy="92392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710142</xdr:rowOff>
    </xdr:to>
    <xdr:sp macro="" textlink="">
      <xdr:nvSpPr>
        <xdr:cNvPr id="50" name="Text Box 191">
          <a:extLst>
            <a:ext uri="{FF2B5EF4-FFF2-40B4-BE49-F238E27FC236}">
              <a16:creationId xmlns:a16="http://schemas.microsoft.com/office/drawing/2014/main" id="{00000000-0008-0000-0F00-000032000000}"/>
            </a:ext>
          </a:extLst>
        </xdr:cNvPr>
        <xdr:cNvSpPr txBox="1">
          <a:spLocks noChangeArrowheads="1"/>
        </xdr:cNvSpPr>
      </xdr:nvSpPr>
      <xdr:spPr bwMode="auto">
        <a:xfrm>
          <a:off x="5000625" y="5029200"/>
          <a:ext cx="123825" cy="92392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614892</xdr:rowOff>
    </xdr:to>
    <xdr:sp macro="" textlink="">
      <xdr:nvSpPr>
        <xdr:cNvPr id="51" name="Text Box 192">
          <a:extLst>
            <a:ext uri="{FF2B5EF4-FFF2-40B4-BE49-F238E27FC236}">
              <a16:creationId xmlns:a16="http://schemas.microsoft.com/office/drawing/2014/main" id="{00000000-0008-0000-0F00-000033000000}"/>
            </a:ext>
          </a:extLst>
        </xdr:cNvPr>
        <xdr:cNvSpPr txBox="1">
          <a:spLocks noChangeArrowheads="1"/>
        </xdr:cNvSpPr>
      </xdr:nvSpPr>
      <xdr:spPr bwMode="auto">
        <a:xfrm>
          <a:off x="5000625" y="5029200"/>
          <a:ext cx="123825" cy="82867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614892</xdr:rowOff>
    </xdr:to>
    <xdr:sp macro="" textlink="">
      <xdr:nvSpPr>
        <xdr:cNvPr id="52" name="Text Box 193">
          <a:extLst>
            <a:ext uri="{FF2B5EF4-FFF2-40B4-BE49-F238E27FC236}">
              <a16:creationId xmlns:a16="http://schemas.microsoft.com/office/drawing/2014/main" id="{00000000-0008-0000-0F00-000034000000}"/>
            </a:ext>
          </a:extLst>
        </xdr:cNvPr>
        <xdr:cNvSpPr txBox="1">
          <a:spLocks noChangeArrowheads="1"/>
        </xdr:cNvSpPr>
      </xdr:nvSpPr>
      <xdr:spPr bwMode="auto">
        <a:xfrm>
          <a:off x="5000625" y="5029200"/>
          <a:ext cx="123825" cy="82867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614892</xdr:rowOff>
    </xdr:to>
    <xdr:sp macro="" textlink="">
      <xdr:nvSpPr>
        <xdr:cNvPr id="53" name="Text Box 194">
          <a:extLst>
            <a:ext uri="{FF2B5EF4-FFF2-40B4-BE49-F238E27FC236}">
              <a16:creationId xmlns:a16="http://schemas.microsoft.com/office/drawing/2014/main" id="{00000000-0008-0000-0F00-000035000000}"/>
            </a:ext>
          </a:extLst>
        </xdr:cNvPr>
        <xdr:cNvSpPr txBox="1">
          <a:spLocks noChangeArrowheads="1"/>
        </xdr:cNvSpPr>
      </xdr:nvSpPr>
      <xdr:spPr bwMode="auto">
        <a:xfrm>
          <a:off x="5000625" y="5029200"/>
          <a:ext cx="123825" cy="82867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614892</xdr:rowOff>
    </xdr:to>
    <xdr:sp macro="" textlink="">
      <xdr:nvSpPr>
        <xdr:cNvPr id="54" name="Text Box 195">
          <a:extLst>
            <a:ext uri="{FF2B5EF4-FFF2-40B4-BE49-F238E27FC236}">
              <a16:creationId xmlns:a16="http://schemas.microsoft.com/office/drawing/2014/main" id="{00000000-0008-0000-0F00-000036000000}"/>
            </a:ext>
          </a:extLst>
        </xdr:cNvPr>
        <xdr:cNvSpPr txBox="1">
          <a:spLocks noChangeArrowheads="1"/>
        </xdr:cNvSpPr>
      </xdr:nvSpPr>
      <xdr:spPr bwMode="auto">
        <a:xfrm>
          <a:off x="5000625" y="5029200"/>
          <a:ext cx="123825" cy="828675"/>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614892</xdr:rowOff>
    </xdr:to>
    <xdr:sp macro="" textlink="">
      <xdr:nvSpPr>
        <xdr:cNvPr id="55" name="Text Box 196">
          <a:extLst>
            <a:ext uri="{FF2B5EF4-FFF2-40B4-BE49-F238E27FC236}">
              <a16:creationId xmlns:a16="http://schemas.microsoft.com/office/drawing/2014/main" id="{00000000-0008-0000-0F00-000037000000}"/>
            </a:ext>
          </a:extLst>
        </xdr:cNvPr>
        <xdr:cNvSpPr txBox="1">
          <a:spLocks noChangeArrowheads="1"/>
        </xdr:cNvSpPr>
      </xdr:nvSpPr>
      <xdr:spPr bwMode="auto">
        <a:xfrm>
          <a:off x="5000625" y="5029200"/>
          <a:ext cx="123825" cy="8286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219074</xdr:rowOff>
    </xdr:to>
    <xdr:sp macro="" textlink="">
      <xdr:nvSpPr>
        <xdr:cNvPr id="56" name="Text Box 197">
          <a:extLst>
            <a:ext uri="{FF2B5EF4-FFF2-40B4-BE49-F238E27FC236}">
              <a16:creationId xmlns:a16="http://schemas.microsoft.com/office/drawing/2014/main" id="{00000000-0008-0000-0F00-000038000000}"/>
            </a:ext>
          </a:extLst>
        </xdr:cNvPr>
        <xdr:cNvSpPr txBox="1">
          <a:spLocks noChangeArrowheads="1"/>
        </xdr:cNvSpPr>
      </xdr:nvSpPr>
      <xdr:spPr bwMode="auto">
        <a:xfrm>
          <a:off x="5000625" y="5353050"/>
          <a:ext cx="123825" cy="8286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219074</xdr:rowOff>
    </xdr:to>
    <xdr:sp macro="" textlink="">
      <xdr:nvSpPr>
        <xdr:cNvPr id="57" name="Text Box 198">
          <a:extLst>
            <a:ext uri="{FF2B5EF4-FFF2-40B4-BE49-F238E27FC236}">
              <a16:creationId xmlns:a16="http://schemas.microsoft.com/office/drawing/2014/main" id="{00000000-0008-0000-0F00-000039000000}"/>
            </a:ext>
          </a:extLst>
        </xdr:cNvPr>
        <xdr:cNvSpPr txBox="1">
          <a:spLocks noChangeArrowheads="1"/>
        </xdr:cNvSpPr>
      </xdr:nvSpPr>
      <xdr:spPr bwMode="auto">
        <a:xfrm>
          <a:off x="5000625" y="5353050"/>
          <a:ext cx="123825" cy="8286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219074</xdr:rowOff>
    </xdr:to>
    <xdr:sp macro="" textlink="">
      <xdr:nvSpPr>
        <xdr:cNvPr id="58" name="Text Box 199">
          <a:extLst>
            <a:ext uri="{FF2B5EF4-FFF2-40B4-BE49-F238E27FC236}">
              <a16:creationId xmlns:a16="http://schemas.microsoft.com/office/drawing/2014/main" id="{00000000-0008-0000-0F00-00003A000000}"/>
            </a:ext>
          </a:extLst>
        </xdr:cNvPr>
        <xdr:cNvSpPr txBox="1">
          <a:spLocks noChangeArrowheads="1"/>
        </xdr:cNvSpPr>
      </xdr:nvSpPr>
      <xdr:spPr bwMode="auto">
        <a:xfrm>
          <a:off x="5000625" y="5353050"/>
          <a:ext cx="123825" cy="8286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219074</xdr:rowOff>
    </xdr:to>
    <xdr:sp macro="" textlink="">
      <xdr:nvSpPr>
        <xdr:cNvPr id="59" name="Text Box 200">
          <a:extLst>
            <a:ext uri="{FF2B5EF4-FFF2-40B4-BE49-F238E27FC236}">
              <a16:creationId xmlns:a16="http://schemas.microsoft.com/office/drawing/2014/main" id="{00000000-0008-0000-0F00-00003B000000}"/>
            </a:ext>
          </a:extLst>
        </xdr:cNvPr>
        <xdr:cNvSpPr txBox="1">
          <a:spLocks noChangeArrowheads="1"/>
        </xdr:cNvSpPr>
      </xdr:nvSpPr>
      <xdr:spPr bwMode="auto">
        <a:xfrm>
          <a:off x="5000625" y="5353050"/>
          <a:ext cx="123825" cy="8286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219074</xdr:rowOff>
    </xdr:to>
    <xdr:sp macro="" textlink="">
      <xdr:nvSpPr>
        <xdr:cNvPr id="60" name="Text Box 201">
          <a:extLst>
            <a:ext uri="{FF2B5EF4-FFF2-40B4-BE49-F238E27FC236}">
              <a16:creationId xmlns:a16="http://schemas.microsoft.com/office/drawing/2014/main" id="{00000000-0008-0000-0F00-00003C000000}"/>
            </a:ext>
          </a:extLst>
        </xdr:cNvPr>
        <xdr:cNvSpPr txBox="1">
          <a:spLocks noChangeArrowheads="1"/>
        </xdr:cNvSpPr>
      </xdr:nvSpPr>
      <xdr:spPr bwMode="auto">
        <a:xfrm>
          <a:off x="5000625" y="5353050"/>
          <a:ext cx="123825" cy="8286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219074</xdr:rowOff>
    </xdr:to>
    <xdr:sp macro="" textlink="">
      <xdr:nvSpPr>
        <xdr:cNvPr id="61" name="Text Box 202">
          <a:extLst>
            <a:ext uri="{FF2B5EF4-FFF2-40B4-BE49-F238E27FC236}">
              <a16:creationId xmlns:a16="http://schemas.microsoft.com/office/drawing/2014/main" id="{00000000-0008-0000-0F00-00003D000000}"/>
            </a:ext>
          </a:extLst>
        </xdr:cNvPr>
        <xdr:cNvSpPr txBox="1">
          <a:spLocks noChangeArrowheads="1"/>
        </xdr:cNvSpPr>
      </xdr:nvSpPr>
      <xdr:spPr bwMode="auto">
        <a:xfrm>
          <a:off x="5000625" y="5353050"/>
          <a:ext cx="123825" cy="8286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219074</xdr:rowOff>
    </xdr:to>
    <xdr:sp macro="" textlink="">
      <xdr:nvSpPr>
        <xdr:cNvPr id="62" name="Text Box 203">
          <a:extLst>
            <a:ext uri="{FF2B5EF4-FFF2-40B4-BE49-F238E27FC236}">
              <a16:creationId xmlns:a16="http://schemas.microsoft.com/office/drawing/2014/main" id="{00000000-0008-0000-0F00-00003E000000}"/>
            </a:ext>
          </a:extLst>
        </xdr:cNvPr>
        <xdr:cNvSpPr txBox="1">
          <a:spLocks noChangeArrowheads="1"/>
        </xdr:cNvSpPr>
      </xdr:nvSpPr>
      <xdr:spPr bwMode="auto">
        <a:xfrm>
          <a:off x="5000625" y="5353050"/>
          <a:ext cx="123825" cy="8286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219074</xdr:rowOff>
    </xdr:to>
    <xdr:sp macro="" textlink="">
      <xdr:nvSpPr>
        <xdr:cNvPr id="63" name="Text Box 204">
          <a:extLst>
            <a:ext uri="{FF2B5EF4-FFF2-40B4-BE49-F238E27FC236}">
              <a16:creationId xmlns:a16="http://schemas.microsoft.com/office/drawing/2014/main" id="{00000000-0008-0000-0F00-00003F000000}"/>
            </a:ext>
          </a:extLst>
        </xdr:cNvPr>
        <xdr:cNvSpPr txBox="1">
          <a:spLocks noChangeArrowheads="1"/>
        </xdr:cNvSpPr>
      </xdr:nvSpPr>
      <xdr:spPr bwMode="auto">
        <a:xfrm>
          <a:off x="5000625" y="5353050"/>
          <a:ext cx="123825" cy="8286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114300</xdr:colOff>
      <xdr:row>13</xdr:row>
      <xdr:rowOff>333374</xdr:rowOff>
    </xdr:to>
    <xdr:sp macro="" textlink="">
      <xdr:nvSpPr>
        <xdr:cNvPr id="64" name="Text Box 205">
          <a:extLst>
            <a:ext uri="{FF2B5EF4-FFF2-40B4-BE49-F238E27FC236}">
              <a16:creationId xmlns:a16="http://schemas.microsoft.com/office/drawing/2014/main" id="{00000000-0008-0000-0F00-000040000000}"/>
            </a:ext>
          </a:extLst>
        </xdr:cNvPr>
        <xdr:cNvSpPr txBox="1">
          <a:spLocks noChangeArrowheads="1"/>
        </xdr:cNvSpPr>
      </xdr:nvSpPr>
      <xdr:spPr bwMode="auto">
        <a:xfrm>
          <a:off x="5000625" y="5353050"/>
          <a:ext cx="114300" cy="9429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114300</xdr:colOff>
      <xdr:row>13</xdr:row>
      <xdr:rowOff>333374</xdr:rowOff>
    </xdr:to>
    <xdr:sp macro="" textlink="">
      <xdr:nvSpPr>
        <xdr:cNvPr id="65" name="Text Box 206">
          <a:extLst>
            <a:ext uri="{FF2B5EF4-FFF2-40B4-BE49-F238E27FC236}">
              <a16:creationId xmlns:a16="http://schemas.microsoft.com/office/drawing/2014/main" id="{00000000-0008-0000-0F00-000041000000}"/>
            </a:ext>
          </a:extLst>
        </xdr:cNvPr>
        <xdr:cNvSpPr txBox="1">
          <a:spLocks noChangeArrowheads="1"/>
        </xdr:cNvSpPr>
      </xdr:nvSpPr>
      <xdr:spPr bwMode="auto">
        <a:xfrm>
          <a:off x="5000625" y="5353050"/>
          <a:ext cx="114300" cy="9429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333374</xdr:rowOff>
    </xdr:to>
    <xdr:sp macro="" textlink="">
      <xdr:nvSpPr>
        <xdr:cNvPr id="66" name="Text Box 207">
          <a:extLst>
            <a:ext uri="{FF2B5EF4-FFF2-40B4-BE49-F238E27FC236}">
              <a16:creationId xmlns:a16="http://schemas.microsoft.com/office/drawing/2014/main" id="{00000000-0008-0000-0F00-000042000000}"/>
            </a:ext>
          </a:extLst>
        </xdr:cNvPr>
        <xdr:cNvSpPr txBox="1">
          <a:spLocks noChangeArrowheads="1"/>
        </xdr:cNvSpPr>
      </xdr:nvSpPr>
      <xdr:spPr bwMode="auto">
        <a:xfrm>
          <a:off x="5000625" y="5353050"/>
          <a:ext cx="123825" cy="9429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333374</xdr:rowOff>
    </xdr:to>
    <xdr:sp macro="" textlink="">
      <xdr:nvSpPr>
        <xdr:cNvPr id="67" name="Text Box 208">
          <a:extLst>
            <a:ext uri="{FF2B5EF4-FFF2-40B4-BE49-F238E27FC236}">
              <a16:creationId xmlns:a16="http://schemas.microsoft.com/office/drawing/2014/main" id="{00000000-0008-0000-0F00-000043000000}"/>
            </a:ext>
          </a:extLst>
        </xdr:cNvPr>
        <xdr:cNvSpPr txBox="1">
          <a:spLocks noChangeArrowheads="1"/>
        </xdr:cNvSpPr>
      </xdr:nvSpPr>
      <xdr:spPr bwMode="auto">
        <a:xfrm>
          <a:off x="5000625" y="5353050"/>
          <a:ext cx="123825" cy="9429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333374</xdr:rowOff>
    </xdr:to>
    <xdr:sp macro="" textlink="">
      <xdr:nvSpPr>
        <xdr:cNvPr id="68" name="Text Box 209">
          <a:extLst>
            <a:ext uri="{FF2B5EF4-FFF2-40B4-BE49-F238E27FC236}">
              <a16:creationId xmlns:a16="http://schemas.microsoft.com/office/drawing/2014/main" id="{00000000-0008-0000-0F00-000044000000}"/>
            </a:ext>
          </a:extLst>
        </xdr:cNvPr>
        <xdr:cNvSpPr txBox="1">
          <a:spLocks noChangeArrowheads="1"/>
        </xdr:cNvSpPr>
      </xdr:nvSpPr>
      <xdr:spPr bwMode="auto">
        <a:xfrm>
          <a:off x="5000625" y="5353050"/>
          <a:ext cx="123825" cy="9429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333374</xdr:rowOff>
    </xdr:to>
    <xdr:sp macro="" textlink="">
      <xdr:nvSpPr>
        <xdr:cNvPr id="69" name="Text Box 210">
          <a:extLst>
            <a:ext uri="{FF2B5EF4-FFF2-40B4-BE49-F238E27FC236}">
              <a16:creationId xmlns:a16="http://schemas.microsoft.com/office/drawing/2014/main" id="{00000000-0008-0000-0F00-000045000000}"/>
            </a:ext>
          </a:extLst>
        </xdr:cNvPr>
        <xdr:cNvSpPr txBox="1">
          <a:spLocks noChangeArrowheads="1"/>
        </xdr:cNvSpPr>
      </xdr:nvSpPr>
      <xdr:spPr bwMode="auto">
        <a:xfrm>
          <a:off x="5000625" y="5353050"/>
          <a:ext cx="123825" cy="9429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219074</xdr:rowOff>
    </xdr:to>
    <xdr:sp macro="" textlink="">
      <xdr:nvSpPr>
        <xdr:cNvPr id="70" name="Text Box 211">
          <a:extLst>
            <a:ext uri="{FF2B5EF4-FFF2-40B4-BE49-F238E27FC236}">
              <a16:creationId xmlns:a16="http://schemas.microsoft.com/office/drawing/2014/main" id="{00000000-0008-0000-0F00-000046000000}"/>
            </a:ext>
          </a:extLst>
        </xdr:cNvPr>
        <xdr:cNvSpPr txBox="1">
          <a:spLocks noChangeArrowheads="1"/>
        </xdr:cNvSpPr>
      </xdr:nvSpPr>
      <xdr:spPr bwMode="auto">
        <a:xfrm>
          <a:off x="5000625" y="5353050"/>
          <a:ext cx="123825" cy="8286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219074</xdr:rowOff>
    </xdr:to>
    <xdr:sp macro="" textlink="">
      <xdr:nvSpPr>
        <xdr:cNvPr id="71" name="Text Box 212">
          <a:extLst>
            <a:ext uri="{FF2B5EF4-FFF2-40B4-BE49-F238E27FC236}">
              <a16:creationId xmlns:a16="http://schemas.microsoft.com/office/drawing/2014/main" id="{00000000-0008-0000-0F00-000047000000}"/>
            </a:ext>
          </a:extLst>
        </xdr:cNvPr>
        <xdr:cNvSpPr txBox="1">
          <a:spLocks noChangeArrowheads="1"/>
        </xdr:cNvSpPr>
      </xdr:nvSpPr>
      <xdr:spPr bwMode="auto">
        <a:xfrm>
          <a:off x="5000625" y="5353050"/>
          <a:ext cx="123825" cy="8286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219074</xdr:rowOff>
    </xdr:to>
    <xdr:sp macro="" textlink="">
      <xdr:nvSpPr>
        <xdr:cNvPr id="72" name="Text Box 213">
          <a:extLst>
            <a:ext uri="{FF2B5EF4-FFF2-40B4-BE49-F238E27FC236}">
              <a16:creationId xmlns:a16="http://schemas.microsoft.com/office/drawing/2014/main" id="{00000000-0008-0000-0F00-000048000000}"/>
            </a:ext>
          </a:extLst>
        </xdr:cNvPr>
        <xdr:cNvSpPr txBox="1">
          <a:spLocks noChangeArrowheads="1"/>
        </xdr:cNvSpPr>
      </xdr:nvSpPr>
      <xdr:spPr bwMode="auto">
        <a:xfrm>
          <a:off x="5000625" y="5353050"/>
          <a:ext cx="123825" cy="828675"/>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219074</xdr:rowOff>
    </xdr:to>
    <xdr:sp macro="" textlink="">
      <xdr:nvSpPr>
        <xdr:cNvPr id="73" name="Text Box 214">
          <a:extLst>
            <a:ext uri="{FF2B5EF4-FFF2-40B4-BE49-F238E27FC236}">
              <a16:creationId xmlns:a16="http://schemas.microsoft.com/office/drawing/2014/main" id="{00000000-0008-0000-0F00-000049000000}"/>
            </a:ext>
          </a:extLst>
        </xdr:cNvPr>
        <xdr:cNvSpPr txBox="1">
          <a:spLocks noChangeArrowheads="1"/>
        </xdr:cNvSpPr>
      </xdr:nvSpPr>
      <xdr:spPr bwMode="auto">
        <a:xfrm>
          <a:off x="5000625" y="5353050"/>
          <a:ext cx="123825" cy="8286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16</xdr:row>
      <xdr:rowOff>161925</xdr:rowOff>
    </xdr:to>
    <xdr:sp macro="" textlink="">
      <xdr:nvSpPr>
        <xdr:cNvPr id="74" name="Text Box 216">
          <a:extLst>
            <a:ext uri="{FF2B5EF4-FFF2-40B4-BE49-F238E27FC236}">
              <a16:creationId xmlns:a16="http://schemas.microsoft.com/office/drawing/2014/main" id="{00000000-0008-0000-0F00-00004A000000}"/>
            </a:ext>
          </a:extLst>
        </xdr:cNvPr>
        <xdr:cNvSpPr txBox="1">
          <a:spLocks noChangeArrowheads="1"/>
        </xdr:cNvSpPr>
      </xdr:nvSpPr>
      <xdr:spPr bwMode="auto">
        <a:xfrm>
          <a:off x="5000625" y="5676900"/>
          <a:ext cx="123825" cy="83820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16</xdr:row>
      <xdr:rowOff>161925</xdr:rowOff>
    </xdr:to>
    <xdr:sp macro="" textlink="">
      <xdr:nvSpPr>
        <xdr:cNvPr id="75" name="Text Box 217">
          <a:extLst>
            <a:ext uri="{FF2B5EF4-FFF2-40B4-BE49-F238E27FC236}">
              <a16:creationId xmlns:a16="http://schemas.microsoft.com/office/drawing/2014/main" id="{00000000-0008-0000-0F00-00004B000000}"/>
            </a:ext>
          </a:extLst>
        </xdr:cNvPr>
        <xdr:cNvSpPr txBox="1">
          <a:spLocks noChangeArrowheads="1"/>
        </xdr:cNvSpPr>
      </xdr:nvSpPr>
      <xdr:spPr bwMode="auto">
        <a:xfrm>
          <a:off x="5000625" y="5676900"/>
          <a:ext cx="123825" cy="83820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16</xdr:row>
      <xdr:rowOff>161925</xdr:rowOff>
    </xdr:to>
    <xdr:sp macro="" textlink="">
      <xdr:nvSpPr>
        <xdr:cNvPr id="76" name="Text Box 218">
          <a:extLst>
            <a:ext uri="{FF2B5EF4-FFF2-40B4-BE49-F238E27FC236}">
              <a16:creationId xmlns:a16="http://schemas.microsoft.com/office/drawing/2014/main" id="{00000000-0008-0000-0F00-00004C000000}"/>
            </a:ext>
          </a:extLst>
        </xdr:cNvPr>
        <xdr:cNvSpPr txBox="1">
          <a:spLocks noChangeArrowheads="1"/>
        </xdr:cNvSpPr>
      </xdr:nvSpPr>
      <xdr:spPr bwMode="auto">
        <a:xfrm>
          <a:off x="5000625" y="5676900"/>
          <a:ext cx="123825" cy="83820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16</xdr:row>
      <xdr:rowOff>161925</xdr:rowOff>
    </xdr:to>
    <xdr:sp macro="" textlink="">
      <xdr:nvSpPr>
        <xdr:cNvPr id="77" name="Text Box 219">
          <a:extLst>
            <a:ext uri="{FF2B5EF4-FFF2-40B4-BE49-F238E27FC236}">
              <a16:creationId xmlns:a16="http://schemas.microsoft.com/office/drawing/2014/main" id="{00000000-0008-0000-0F00-00004D000000}"/>
            </a:ext>
          </a:extLst>
        </xdr:cNvPr>
        <xdr:cNvSpPr txBox="1">
          <a:spLocks noChangeArrowheads="1"/>
        </xdr:cNvSpPr>
      </xdr:nvSpPr>
      <xdr:spPr bwMode="auto">
        <a:xfrm>
          <a:off x="5000625" y="5676900"/>
          <a:ext cx="123825" cy="83820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16</xdr:row>
      <xdr:rowOff>161925</xdr:rowOff>
    </xdr:to>
    <xdr:sp macro="" textlink="">
      <xdr:nvSpPr>
        <xdr:cNvPr id="78" name="Text Box 220">
          <a:extLst>
            <a:ext uri="{FF2B5EF4-FFF2-40B4-BE49-F238E27FC236}">
              <a16:creationId xmlns:a16="http://schemas.microsoft.com/office/drawing/2014/main" id="{00000000-0008-0000-0F00-00004E000000}"/>
            </a:ext>
          </a:extLst>
        </xdr:cNvPr>
        <xdr:cNvSpPr txBox="1">
          <a:spLocks noChangeArrowheads="1"/>
        </xdr:cNvSpPr>
      </xdr:nvSpPr>
      <xdr:spPr bwMode="auto">
        <a:xfrm>
          <a:off x="5000625" y="5676900"/>
          <a:ext cx="123825" cy="83820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16</xdr:row>
      <xdr:rowOff>161925</xdr:rowOff>
    </xdr:to>
    <xdr:sp macro="" textlink="">
      <xdr:nvSpPr>
        <xdr:cNvPr id="79" name="Text Box 221">
          <a:extLst>
            <a:ext uri="{FF2B5EF4-FFF2-40B4-BE49-F238E27FC236}">
              <a16:creationId xmlns:a16="http://schemas.microsoft.com/office/drawing/2014/main" id="{00000000-0008-0000-0F00-00004F000000}"/>
            </a:ext>
          </a:extLst>
        </xdr:cNvPr>
        <xdr:cNvSpPr txBox="1">
          <a:spLocks noChangeArrowheads="1"/>
        </xdr:cNvSpPr>
      </xdr:nvSpPr>
      <xdr:spPr bwMode="auto">
        <a:xfrm>
          <a:off x="5000625" y="5676900"/>
          <a:ext cx="123825" cy="83820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16</xdr:row>
      <xdr:rowOff>161925</xdr:rowOff>
    </xdr:to>
    <xdr:sp macro="" textlink="">
      <xdr:nvSpPr>
        <xdr:cNvPr id="80" name="Text Box 222">
          <a:extLst>
            <a:ext uri="{FF2B5EF4-FFF2-40B4-BE49-F238E27FC236}">
              <a16:creationId xmlns:a16="http://schemas.microsoft.com/office/drawing/2014/main" id="{00000000-0008-0000-0F00-000050000000}"/>
            </a:ext>
          </a:extLst>
        </xdr:cNvPr>
        <xdr:cNvSpPr txBox="1">
          <a:spLocks noChangeArrowheads="1"/>
        </xdr:cNvSpPr>
      </xdr:nvSpPr>
      <xdr:spPr bwMode="auto">
        <a:xfrm>
          <a:off x="5000625" y="5676900"/>
          <a:ext cx="123825" cy="83820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16</xdr:row>
      <xdr:rowOff>161925</xdr:rowOff>
    </xdr:to>
    <xdr:sp macro="" textlink="">
      <xdr:nvSpPr>
        <xdr:cNvPr id="81" name="Text Box 223">
          <a:extLst>
            <a:ext uri="{FF2B5EF4-FFF2-40B4-BE49-F238E27FC236}">
              <a16:creationId xmlns:a16="http://schemas.microsoft.com/office/drawing/2014/main" id="{00000000-0008-0000-0F00-000051000000}"/>
            </a:ext>
          </a:extLst>
        </xdr:cNvPr>
        <xdr:cNvSpPr txBox="1">
          <a:spLocks noChangeArrowheads="1"/>
        </xdr:cNvSpPr>
      </xdr:nvSpPr>
      <xdr:spPr bwMode="auto">
        <a:xfrm>
          <a:off x="5000625" y="5676900"/>
          <a:ext cx="123825" cy="83820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114300</xdr:colOff>
      <xdr:row>17</xdr:row>
      <xdr:rowOff>96611</xdr:rowOff>
    </xdr:to>
    <xdr:sp macro="" textlink="">
      <xdr:nvSpPr>
        <xdr:cNvPr id="82" name="Text Box 224">
          <a:extLst>
            <a:ext uri="{FF2B5EF4-FFF2-40B4-BE49-F238E27FC236}">
              <a16:creationId xmlns:a16="http://schemas.microsoft.com/office/drawing/2014/main" id="{00000000-0008-0000-0F00-000052000000}"/>
            </a:ext>
          </a:extLst>
        </xdr:cNvPr>
        <xdr:cNvSpPr txBox="1">
          <a:spLocks noChangeArrowheads="1"/>
        </xdr:cNvSpPr>
      </xdr:nvSpPr>
      <xdr:spPr bwMode="auto">
        <a:xfrm>
          <a:off x="5000625" y="5676900"/>
          <a:ext cx="114300" cy="9334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17</xdr:row>
      <xdr:rowOff>96611</xdr:rowOff>
    </xdr:to>
    <xdr:sp macro="" textlink="">
      <xdr:nvSpPr>
        <xdr:cNvPr id="83" name="Text Box 226">
          <a:extLst>
            <a:ext uri="{FF2B5EF4-FFF2-40B4-BE49-F238E27FC236}">
              <a16:creationId xmlns:a16="http://schemas.microsoft.com/office/drawing/2014/main" id="{00000000-0008-0000-0F00-000053000000}"/>
            </a:ext>
          </a:extLst>
        </xdr:cNvPr>
        <xdr:cNvSpPr txBox="1">
          <a:spLocks noChangeArrowheads="1"/>
        </xdr:cNvSpPr>
      </xdr:nvSpPr>
      <xdr:spPr bwMode="auto">
        <a:xfrm>
          <a:off x="5000625" y="5676900"/>
          <a:ext cx="123825" cy="9334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17</xdr:row>
      <xdr:rowOff>96611</xdr:rowOff>
    </xdr:to>
    <xdr:sp macro="" textlink="">
      <xdr:nvSpPr>
        <xdr:cNvPr id="84" name="Text Box 227">
          <a:extLst>
            <a:ext uri="{FF2B5EF4-FFF2-40B4-BE49-F238E27FC236}">
              <a16:creationId xmlns:a16="http://schemas.microsoft.com/office/drawing/2014/main" id="{00000000-0008-0000-0F00-000054000000}"/>
            </a:ext>
          </a:extLst>
        </xdr:cNvPr>
        <xdr:cNvSpPr txBox="1">
          <a:spLocks noChangeArrowheads="1"/>
        </xdr:cNvSpPr>
      </xdr:nvSpPr>
      <xdr:spPr bwMode="auto">
        <a:xfrm>
          <a:off x="5000625" y="5676900"/>
          <a:ext cx="123825" cy="9334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17</xdr:row>
      <xdr:rowOff>96611</xdr:rowOff>
    </xdr:to>
    <xdr:sp macro="" textlink="">
      <xdr:nvSpPr>
        <xdr:cNvPr id="85" name="Text Box 228">
          <a:extLst>
            <a:ext uri="{FF2B5EF4-FFF2-40B4-BE49-F238E27FC236}">
              <a16:creationId xmlns:a16="http://schemas.microsoft.com/office/drawing/2014/main" id="{00000000-0008-0000-0F00-000055000000}"/>
            </a:ext>
          </a:extLst>
        </xdr:cNvPr>
        <xdr:cNvSpPr txBox="1">
          <a:spLocks noChangeArrowheads="1"/>
        </xdr:cNvSpPr>
      </xdr:nvSpPr>
      <xdr:spPr bwMode="auto">
        <a:xfrm>
          <a:off x="5000625" y="5676900"/>
          <a:ext cx="123825" cy="9334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17</xdr:row>
      <xdr:rowOff>96611</xdr:rowOff>
    </xdr:to>
    <xdr:sp macro="" textlink="">
      <xdr:nvSpPr>
        <xdr:cNvPr id="86" name="Text Box 229">
          <a:extLst>
            <a:ext uri="{FF2B5EF4-FFF2-40B4-BE49-F238E27FC236}">
              <a16:creationId xmlns:a16="http://schemas.microsoft.com/office/drawing/2014/main" id="{00000000-0008-0000-0F00-000056000000}"/>
            </a:ext>
          </a:extLst>
        </xdr:cNvPr>
        <xdr:cNvSpPr txBox="1">
          <a:spLocks noChangeArrowheads="1"/>
        </xdr:cNvSpPr>
      </xdr:nvSpPr>
      <xdr:spPr bwMode="auto">
        <a:xfrm>
          <a:off x="5000625" y="5676900"/>
          <a:ext cx="123825" cy="9334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16</xdr:row>
      <xdr:rowOff>161925</xdr:rowOff>
    </xdr:to>
    <xdr:sp macro="" textlink="">
      <xdr:nvSpPr>
        <xdr:cNvPr id="87" name="Text Box 230">
          <a:extLst>
            <a:ext uri="{FF2B5EF4-FFF2-40B4-BE49-F238E27FC236}">
              <a16:creationId xmlns:a16="http://schemas.microsoft.com/office/drawing/2014/main" id="{00000000-0008-0000-0F00-000057000000}"/>
            </a:ext>
          </a:extLst>
        </xdr:cNvPr>
        <xdr:cNvSpPr txBox="1">
          <a:spLocks noChangeArrowheads="1"/>
        </xdr:cNvSpPr>
      </xdr:nvSpPr>
      <xdr:spPr bwMode="auto">
        <a:xfrm>
          <a:off x="5000625" y="5676900"/>
          <a:ext cx="123825" cy="83820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16</xdr:row>
      <xdr:rowOff>161925</xdr:rowOff>
    </xdr:to>
    <xdr:sp macro="" textlink="">
      <xdr:nvSpPr>
        <xdr:cNvPr id="88" name="Text Box 231">
          <a:extLst>
            <a:ext uri="{FF2B5EF4-FFF2-40B4-BE49-F238E27FC236}">
              <a16:creationId xmlns:a16="http://schemas.microsoft.com/office/drawing/2014/main" id="{00000000-0008-0000-0F00-000058000000}"/>
            </a:ext>
          </a:extLst>
        </xdr:cNvPr>
        <xdr:cNvSpPr txBox="1">
          <a:spLocks noChangeArrowheads="1"/>
        </xdr:cNvSpPr>
      </xdr:nvSpPr>
      <xdr:spPr bwMode="auto">
        <a:xfrm>
          <a:off x="5000625" y="5676900"/>
          <a:ext cx="123825" cy="83820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16</xdr:row>
      <xdr:rowOff>161925</xdr:rowOff>
    </xdr:to>
    <xdr:sp macro="" textlink="">
      <xdr:nvSpPr>
        <xdr:cNvPr id="89" name="Text Box 232">
          <a:extLst>
            <a:ext uri="{FF2B5EF4-FFF2-40B4-BE49-F238E27FC236}">
              <a16:creationId xmlns:a16="http://schemas.microsoft.com/office/drawing/2014/main" id="{00000000-0008-0000-0F00-000059000000}"/>
            </a:ext>
          </a:extLst>
        </xdr:cNvPr>
        <xdr:cNvSpPr txBox="1">
          <a:spLocks noChangeArrowheads="1"/>
        </xdr:cNvSpPr>
      </xdr:nvSpPr>
      <xdr:spPr bwMode="auto">
        <a:xfrm>
          <a:off x="5000625" y="5676900"/>
          <a:ext cx="123825" cy="83820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16</xdr:row>
      <xdr:rowOff>161925</xdr:rowOff>
    </xdr:to>
    <xdr:sp macro="" textlink="">
      <xdr:nvSpPr>
        <xdr:cNvPr id="90" name="Text Box 233">
          <a:extLst>
            <a:ext uri="{FF2B5EF4-FFF2-40B4-BE49-F238E27FC236}">
              <a16:creationId xmlns:a16="http://schemas.microsoft.com/office/drawing/2014/main" id="{00000000-0008-0000-0F00-00005A000000}"/>
            </a:ext>
          </a:extLst>
        </xdr:cNvPr>
        <xdr:cNvSpPr txBox="1">
          <a:spLocks noChangeArrowheads="1"/>
        </xdr:cNvSpPr>
      </xdr:nvSpPr>
      <xdr:spPr bwMode="auto">
        <a:xfrm>
          <a:off x="5000625" y="5676900"/>
          <a:ext cx="123825" cy="83820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6</xdr:col>
      <xdr:colOff>123825</xdr:colOff>
      <xdr:row>16</xdr:row>
      <xdr:rowOff>161925</xdr:rowOff>
    </xdr:to>
    <xdr:sp macro="" textlink="">
      <xdr:nvSpPr>
        <xdr:cNvPr id="91" name="Text Box 234">
          <a:extLst>
            <a:ext uri="{FF2B5EF4-FFF2-40B4-BE49-F238E27FC236}">
              <a16:creationId xmlns:a16="http://schemas.microsoft.com/office/drawing/2014/main" id="{00000000-0008-0000-0F00-00005B000000}"/>
            </a:ext>
          </a:extLst>
        </xdr:cNvPr>
        <xdr:cNvSpPr txBox="1">
          <a:spLocks noChangeArrowheads="1"/>
        </xdr:cNvSpPr>
      </xdr:nvSpPr>
      <xdr:spPr bwMode="auto">
        <a:xfrm>
          <a:off x="5000625" y="5676900"/>
          <a:ext cx="123825" cy="838200"/>
        </a:xfrm>
        <a:prstGeom prst="rect">
          <a:avLst/>
        </a:prstGeom>
        <a:noFill/>
        <a:ln w="9525">
          <a:noFill/>
          <a:miter lim="800000"/>
          <a:headEnd/>
          <a:tailEnd/>
        </a:ln>
      </xdr:spPr>
    </xdr:sp>
    <xdr:clientData/>
  </xdr:twoCellAnchor>
  <xdr:twoCellAnchor editAs="oneCell">
    <xdr:from>
      <xdr:col>8</xdr:col>
      <xdr:colOff>952500</xdr:colOff>
      <xdr:row>11</xdr:row>
      <xdr:rowOff>0</xdr:rowOff>
    </xdr:from>
    <xdr:to>
      <xdr:col>9</xdr:col>
      <xdr:colOff>14968</xdr:colOff>
      <xdr:row>12</xdr:row>
      <xdr:rowOff>614892</xdr:rowOff>
    </xdr:to>
    <xdr:sp macro="" textlink="">
      <xdr:nvSpPr>
        <xdr:cNvPr id="92" name="Text Box 178">
          <a:extLst>
            <a:ext uri="{FF2B5EF4-FFF2-40B4-BE49-F238E27FC236}">
              <a16:creationId xmlns:a16="http://schemas.microsoft.com/office/drawing/2014/main" id="{00000000-0008-0000-0F00-00005C000000}"/>
            </a:ext>
          </a:extLst>
        </xdr:cNvPr>
        <xdr:cNvSpPr txBox="1">
          <a:spLocks noChangeArrowheads="1"/>
        </xdr:cNvSpPr>
      </xdr:nvSpPr>
      <xdr:spPr bwMode="auto">
        <a:xfrm>
          <a:off x="7375071" y="4857750"/>
          <a:ext cx="123825" cy="834118"/>
        </a:xfrm>
        <a:prstGeom prst="rect">
          <a:avLst/>
        </a:prstGeom>
        <a:noFill/>
        <a:ln w="9525">
          <a:noFill/>
          <a:miter lim="800000"/>
          <a:headEnd/>
          <a:tailEnd/>
        </a:ln>
      </xdr:spPr>
    </xdr:sp>
    <xdr:clientData/>
  </xdr:twoCellAnchor>
  <xdr:twoCellAnchor editAs="oneCell">
    <xdr:from>
      <xdr:col>8</xdr:col>
      <xdr:colOff>816429</xdr:colOff>
      <xdr:row>10</xdr:row>
      <xdr:rowOff>299356</xdr:rowOff>
    </xdr:from>
    <xdr:to>
      <xdr:col>8</xdr:col>
      <xdr:colOff>940254</xdr:colOff>
      <xdr:row>12</xdr:row>
      <xdr:rowOff>587677</xdr:rowOff>
    </xdr:to>
    <xdr:sp macro="" textlink="">
      <xdr:nvSpPr>
        <xdr:cNvPr id="93" name="Text Box 179">
          <a:extLst>
            <a:ext uri="{FF2B5EF4-FFF2-40B4-BE49-F238E27FC236}">
              <a16:creationId xmlns:a16="http://schemas.microsoft.com/office/drawing/2014/main" id="{00000000-0008-0000-0F00-00005D000000}"/>
            </a:ext>
          </a:extLst>
        </xdr:cNvPr>
        <xdr:cNvSpPr txBox="1">
          <a:spLocks noChangeArrowheads="1"/>
        </xdr:cNvSpPr>
      </xdr:nvSpPr>
      <xdr:spPr bwMode="auto">
        <a:xfrm>
          <a:off x="7239000" y="4830535"/>
          <a:ext cx="123825" cy="834118"/>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614892</xdr:rowOff>
    </xdr:to>
    <xdr:sp macro="" textlink="">
      <xdr:nvSpPr>
        <xdr:cNvPr id="94" name="Text Box 180">
          <a:extLst>
            <a:ext uri="{FF2B5EF4-FFF2-40B4-BE49-F238E27FC236}">
              <a16:creationId xmlns:a16="http://schemas.microsoft.com/office/drawing/2014/main" id="{00000000-0008-0000-0F00-00005E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614892</xdr:rowOff>
    </xdr:to>
    <xdr:sp macro="" textlink="">
      <xdr:nvSpPr>
        <xdr:cNvPr id="95" name="Text Box 181">
          <a:extLst>
            <a:ext uri="{FF2B5EF4-FFF2-40B4-BE49-F238E27FC236}">
              <a16:creationId xmlns:a16="http://schemas.microsoft.com/office/drawing/2014/main" id="{00000000-0008-0000-0F00-00005F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614892</xdr:rowOff>
    </xdr:to>
    <xdr:sp macro="" textlink="">
      <xdr:nvSpPr>
        <xdr:cNvPr id="96" name="Text Box 182">
          <a:extLst>
            <a:ext uri="{FF2B5EF4-FFF2-40B4-BE49-F238E27FC236}">
              <a16:creationId xmlns:a16="http://schemas.microsoft.com/office/drawing/2014/main" id="{00000000-0008-0000-0F00-000060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614892</xdr:rowOff>
    </xdr:to>
    <xdr:sp macro="" textlink="">
      <xdr:nvSpPr>
        <xdr:cNvPr id="97" name="Text Box 183">
          <a:extLst>
            <a:ext uri="{FF2B5EF4-FFF2-40B4-BE49-F238E27FC236}">
              <a16:creationId xmlns:a16="http://schemas.microsoft.com/office/drawing/2014/main" id="{00000000-0008-0000-0F00-000061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614892</xdr:rowOff>
    </xdr:to>
    <xdr:sp macro="" textlink="">
      <xdr:nvSpPr>
        <xdr:cNvPr id="98" name="Text Box 184">
          <a:extLst>
            <a:ext uri="{FF2B5EF4-FFF2-40B4-BE49-F238E27FC236}">
              <a16:creationId xmlns:a16="http://schemas.microsoft.com/office/drawing/2014/main" id="{00000000-0008-0000-0F00-000062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614892</xdr:rowOff>
    </xdr:to>
    <xdr:sp macro="" textlink="">
      <xdr:nvSpPr>
        <xdr:cNvPr id="99" name="Text Box 185">
          <a:extLst>
            <a:ext uri="{FF2B5EF4-FFF2-40B4-BE49-F238E27FC236}">
              <a16:creationId xmlns:a16="http://schemas.microsoft.com/office/drawing/2014/main" id="{00000000-0008-0000-0F00-000063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114300</xdr:colOff>
      <xdr:row>12</xdr:row>
      <xdr:rowOff>710142</xdr:rowOff>
    </xdr:to>
    <xdr:sp macro="" textlink="">
      <xdr:nvSpPr>
        <xdr:cNvPr id="100" name="Text Box 186">
          <a:extLst>
            <a:ext uri="{FF2B5EF4-FFF2-40B4-BE49-F238E27FC236}">
              <a16:creationId xmlns:a16="http://schemas.microsoft.com/office/drawing/2014/main" id="{00000000-0008-0000-0F00-000064000000}"/>
            </a:ext>
          </a:extLst>
        </xdr:cNvPr>
        <xdr:cNvSpPr txBox="1">
          <a:spLocks noChangeArrowheads="1"/>
        </xdr:cNvSpPr>
      </xdr:nvSpPr>
      <xdr:spPr bwMode="auto">
        <a:xfrm>
          <a:off x="6057900" y="5029200"/>
          <a:ext cx="114300" cy="92392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114300</xdr:colOff>
      <xdr:row>12</xdr:row>
      <xdr:rowOff>710142</xdr:rowOff>
    </xdr:to>
    <xdr:sp macro="" textlink="">
      <xdr:nvSpPr>
        <xdr:cNvPr id="101" name="Text Box 187">
          <a:extLst>
            <a:ext uri="{FF2B5EF4-FFF2-40B4-BE49-F238E27FC236}">
              <a16:creationId xmlns:a16="http://schemas.microsoft.com/office/drawing/2014/main" id="{00000000-0008-0000-0F00-000065000000}"/>
            </a:ext>
          </a:extLst>
        </xdr:cNvPr>
        <xdr:cNvSpPr txBox="1">
          <a:spLocks noChangeArrowheads="1"/>
        </xdr:cNvSpPr>
      </xdr:nvSpPr>
      <xdr:spPr bwMode="auto">
        <a:xfrm>
          <a:off x="6057900" y="5029200"/>
          <a:ext cx="114300" cy="92392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710142</xdr:rowOff>
    </xdr:to>
    <xdr:sp macro="" textlink="">
      <xdr:nvSpPr>
        <xdr:cNvPr id="102" name="Text Box 188">
          <a:extLst>
            <a:ext uri="{FF2B5EF4-FFF2-40B4-BE49-F238E27FC236}">
              <a16:creationId xmlns:a16="http://schemas.microsoft.com/office/drawing/2014/main" id="{00000000-0008-0000-0F00-000066000000}"/>
            </a:ext>
          </a:extLst>
        </xdr:cNvPr>
        <xdr:cNvSpPr txBox="1">
          <a:spLocks noChangeArrowheads="1"/>
        </xdr:cNvSpPr>
      </xdr:nvSpPr>
      <xdr:spPr bwMode="auto">
        <a:xfrm>
          <a:off x="6057900" y="5029200"/>
          <a:ext cx="123825" cy="92392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710142</xdr:rowOff>
    </xdr:to>
    <xdr:sp macro="" textlink="">
      <xdr:nvSpPr>
        <xdr:cNvPr id="103" name="Text Box 189">
          <a:extLst>
            <a:ext uri="{FF2B5EF4-FFF2-40B4-BE49-F238E27FC236}">
              <a16:creationId xmlns:a16="http://schemas.microsoft.com/office/drawing/2014/main" id="{00000000-0008-0000-0F00-000067000000}"/>
            </a:ext>
          </a:extLst>
        </xdr:cNvPr>
        <xdr:cNvSpPr txBox="1">
          <a:spLocks noChangeArrowheads="1"/>
        </xdr:cNvSpPr>
      </xdr:nvSpPr>
      <xdr:spPr bwMode="auto">
        <a:xfrm>
          <a:off x="6057900" y="5029200"/>
          <a:ext cx="123825" cy="92392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710142</xdr:rowOff>
    </xdr:to>
    <xdr:sp macro="" textlink="">
      <xdr:nvSpPr>
        <xdr:cNvPr id="104" name="Text Box 190">
          <a:extLst>
            <a:ext uri="{FF2B5EF4-FFF2-40B4-BE49-F238E27FC236}">
              <a16:creationId xmlns:a16="http://schemas.microsoft.com/office/drawing/2014/main" id="{00000000-0008-0000-0F00-000068000000}"/>
            </a:ext>
          </a:extLst>
        </xdr:cNvPr>
        <xdr:cNvSpPr txBox="1">
          <a:spLocks noChangeArrowheads="1"/>
        </xdr:cNvSpPr>
      </xdr:nvSpPr>
      <xdr:spPr bwMode="auto">
        <a:xfrm>
          <a:off x="6057900" y="5029200"/>
          <a:ext cx="123825" cy="92392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710142</xdr:rowOff>
    </xdr:to>
    <xdr:sp macro="" textlink="">
      <xdr:nvSpPr>
        <xdr:cNvPr id="105" name="Text Box 191">
          <a:extLst>
            <a:ext uri="{FF2B5EF4-FFF2-40B4-BE49-F238E27FC236}">
              <a16:creationId xmlns:a16="http://schemas.microsoft.com/office/drawing/2014/main" id="{00000000-0008-0000-0F00-000069000000}"/>
            </a:ext>
          </a:extLst>
        </xdr:cNvPr>
        <xdr:cNvSpPr txBox="1">
          <a:spLocks noChangeArrowheads="1"/>
        </xdr:cNvSpPr>
      </xdr:nvSpPr>
      <xdr:spPr bwMode="auto">
        <a:xfrm>
          <a:off x="6057900" y="5029200"/>
          <a:ext cx="123825" cy="92392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614892</xdr:rowOff>
    </xdr:to>
    <xdr:sp macro="" textlink="">
      <xdr:nvSpPr>
        <xdr:cNvPr id="106" name="Text Box 192">
          <a:extLst>
            <a:ext uri="{FF2B5EF4-FFF2-40B4-BE49-F238E27FC236}">
              <a16:creationId xmlns:a16="http://schemas.microsoft.com/office/drawing/2014/main" id="{00000000-0008-0000-0F00-00006A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614892</xdr:rowOff>
    </xdr:to>
    <xdr:sp macro="" textlink="">
      <xdr:nvSpPr>
        <xdr:cNvPr id="107" name="Text Box 193">
          <a:extLst>
            <a:ext uri="{FF2B5EF4-FFF2-40B4-BE49-F238E27FC236}">
              <a16:creationId xmlns:a16="http://schemas.microsoft.com/office/drawing/2014/main" id="{00000000-0008-0000-0F00-00006B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614892</xdr:rowOff>
    </xdr:to>
    <xdr:sp macro="" textlink="">
      <xdr:nvSpPr>
        <xdr:cNvPr id="108" name="Text Box 194">
          <a:extLst>
            <a:ext uri="{FF2B5EF4-FFF2-40B4-BE49-F238E27FC236}">
              <a16:creationId xmlns:a16="http://schemas.microsoft.com/office/drawing/2014/main" id="{00000000-0008-0000-0F00-00006C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614892</xdr:rowOff>
    </xdr:to>
    <xdr:sp macro="" textlink="">
      <xdr:nvSpPr>
        <xdr:cNvPr id="109" name="Text Box 195">
          <a:extLst>
            <a:ext uri="{FF2B5EF4-FFF2-40B4-BE49-F238E27FC236}">
              <a16:creationId xmlns:a16="http://schemas.microsoft.com/office/drawing/2014/main" id="{00000000-0008-0000-0F00-00006D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614892</xdr:rowOff>
    </xdr:to>
    <xdr:sp macro="" textlink="">
      <xdr:nvSpPr>
        <xdr:cNvPr id="110" name="Text Box 196">
          <a:extLst>
            <a:ext uri="{FF2B5EF4-FFF2-40B4-BE49-F238E27FC236}">
              <a16:creationId xmlns:a16="http://schemas.microsoft.com/office/drawing/2014/main" id="{00000000-0008-0000-0F00-00006E000000}"/>
            </a:ext>
          </a:extLst>
        </xdr:cNvPr>
        <xdr:cNvSpPr txBox="1">
          <a:spLocks noChangeArrowheads="1"/>
        </xdr:cNvSpPr>
      </xdr:nvSpPr>
      <xdr:spPr bwMode="auto">
        <a:xfrm>
          <a:off x="6057900" y="5029200"/>
          <a:ext cx="123825" cy="8286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219074</xdr:rowOff>
    </xdr:to>
    <xdr:sp macro="" textlink="">
      <xdr:nvSpPr>
        <xdr:cNvPr id="111" name="Text Box 197">
          <a:extLst>
            <a:ext uri="{FF2B5EF4-FFF2-40B4-BE49-F238E27FC236}">
              <a16:creationId xmlns:a16="http://schemas.microsoft.com/office/drawing/2014/main" id="{00000000-0008-0000-0F00-00006F000000}"/>
            </a:ext>
          </a:extLst>
        </xdr:cNvPr>
        <xdr:cNvSpPr txBox="1">
          <a:spLocks noChangeArrowheads="1"/>
        </xdr:cNvSpPr>
      </xdr:nvSpPr>
      <xdr:spPr bwMode="auto">
        <a:xfrm>
          <a:off x="6057900" y="5353050"/>
          <a:ext cx="123825" cy="8286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219074</xdr:rowOff>
    </xdr:to>
    <xdr:sp macro="" textlink="">
      <xdr:nvSpPr>
        <xdr:cNvPr id="112" name="Text Box 198">
          <a:extLst>
            <a:ext uri="{FF2B5EF4-FFF2-40B4-BE49-F238E27FC236}">
              <a16:creationId xmlns:a16="http://schemas.microsoft.com/office/drawing/2014/main" id="{00000000-0008-0000-0F00-000070000000}"/>
            </a:ext>
          </a:extLst>
        </xdr:cNvPr>
        <xdr:cNvSpPr txBox="1">
          <a:spLocks noChangeArrowheads="1"/>
        </xdr:cNvSpPr>
      </xdr:nvSpPr>
      <xdr:spPr bwMode="auto">
        <a:xfrm>
          <a:off x="6057900" y="5353050"/>
          <a:ext cx="123825" cy="8286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219074</xdr:rowOff>
    </xdr:to>
    <xdr:sp macro="" textlink="">
      <xdr:nvSpPr>
        <xdr:cNvPr id="113" name="Text Box 199">
          <a:extLst>
            <a:ext uri="{FF2B5EF4-FFF2-40B4-BE49-F238E27FC236}">
              <a16:creationId xmlns:a16="http://schemas.microsoft.com/office/drawing/2014/main" id="{00000000-0008-0000-0F00-000071000000}"/>
            </a:ext>
          </a:extLst>
        </xdr:cNvPr>
        <xdr:cNvSpPr txBox="1">
          <a:spLocks noChangeArrowheads="1"/>
        </xdr:cNvSpPr>
      </xdr:nvSpPr>
      <xdr:spPr bwMode="auto">
        <a:xfrm>
          <a:off x="6057900" y="5353050"/>
          <a:ext cx="123825" cy="8286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219074</xdr:rowOff>
    </xdr:to>
    <xdr:sp macro="" textlink="">
      <xdr:nvSpPr>
        <xdr:cNvPr id="114" name="Text Box 200">
          <a:extLst>
            <a:ext uri="{FF2B5EF4-FFF2-40B4-BE49-F238E27FC236}">
              <a16:creationId xmlns:a16="http://schemas.microsoft.com/office/drawing/2014/main" id="{00000000-0008-0000-0F00-000072000000}"/>
            </a:ext>
          </a:extLst>
        </xdr:cNvPr>
        <xdr:cNvSpPr txBox="1">
          <a:spLocks noChangeArrowheads="1"/>
        </xdr:cNvSpPr>
      </xdr:nvSpPr>
      <xdr:spPr bwMode="auto">
        <a:xfrm>
          <a:off x="6057900" y="5353050"/>
          <a:ext cx="123825" cy="8286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219074</xdr:rowOff>
    </xdr:to>
    <xdr:sp macro="" textlink="">
      <xdr:nvSpPr>
        <xdr:cNvPr id="115" name="Text Box 201">
          <a:extLst>
            <a:ext uri="{FF2B5EF4-FFF2-40B4-BE49-F238E27FC236}">
              <a16:creationId xmlns:a16="http://schemas.microsoft.com/office/drawing/2014/main" id="{00000000-0008-0000-0F00-000073000000}"/>
            </a:ext>
          </a:extLst>
        </xdr:cNvPr>
        <xdr:cNvSpPr txBox="1">
          <a:spLocks noChangeArrowheads="1"/>
        </xdr:cNvSpPr>
      </xdr:nvSpPr>
      <xdr:spPr bwMode="auto">
        <a:xfrm>
          <a:off x="6057900" y="5353050"/>
          <a:ext cx="123825" cy="8286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219074</xdr:rowOff>
    </xdr:to>
    <xdr:sp macro="" textlink="">
      <xdr:nvSpPr>
        <xdr:cNvPr id="116" name="Text Box 202">
          <a:extLst>
            <a:ext uri="{FF2B5EF4-FFF2-40B4-BE49-F238E27FC236}">
              <a16:creationId xmlns:a16="http://schemas.microsoft.com/office/drawing/2014/main" id="{00000000-0008-0000-0F00-000074000000}"/>
            </a:ext>
          </a:extLst>
        </xdr:cNvPr>
        <xdr:cNvSpPr txBox="1">
          <a:spLocks noChangeArrowheads="1"/>
        </xdr:cNvSpPr>
      </xdr:nvSpPr>
      <xdr:spPr bwMode="auto">
        <a:xfrm>
          <a:off x="6057900" y="5353050"/>
          <a:ext cx="123825" cy="8286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219074</xdr:rowOff>
    </xdr:to>
    <xdr:sp macro="" textlink="">
      <xdr:nvSpPr>
        <xdr:cNvPr id="117" name="Text Box 203">
          <a:extLst>
            <a:ext uri="{FF2B5EF4-FFF2-40B4-BE49-F238E27FC236}">
              <a16:creationId xmlns:a16="http://schemas.microsoft.com/office/drawing/2014/main" id="{00000000-0008-0000-0F00-000075000000}"/>
            </a:ext>
          </a:extLst>
        </xdr:cNvPr>
        <xdr:cNvSpPr txBox="1">
          <a:spLocks noChangeArrowheads="1"/>
        </xdr:cNvSpPr>
      </xdr:nvSpPr>
      <xdr:spPr bwMode="auto">
        <a:xfrm>
          <a:off x="6057900" y="5353050"/>
          <a:ext cx="123825" cy="8286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219074</xdr:rowOff>
    </xdr:to>
    <xdr:sp macro="" textlink="">
      <xdr:nvSpPr>
        <xdr:cNvPr id="118" name="Text Box 204">
          <a:extLst>
            <a:ext uri="{FF2B5EF4-FFF2-40B4-BE49-F238E27FC236}">
              <a16:creationId xmlns:a16="http://schemas.microsoft.com/office/drawing/2014/main" id="{00000000-0008-0000-0F00-000076000000}"/>
            </a:ext>
          </a:extLst>
        </xdr:cNvPr>
        <xdr:cNvSpPr txBox="1">
          <a:spLocks noChangeArrowheads="1"/>
        </xdr:cNvSpPr>
      </xdr:nvSpPr>
      <xdr:spPr bwMode="auto">
        <a:xfrm>
          <a:off x="6057900" y="5353050"/>
          <a:ext cx="123825" cy="8286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114300</xdr:colOff>
      <xdr:row>13</xdr:row>
      <xdr:rowOff>333374</xdr:rowOff>
    </xdr:to>
    <xdr:sp macro="" textlink="">
      <xdr:nvSpPr>
        <xdr:cNvPr id="119" name="Text Box 205">
          <a:extLst>
            <a:ext uri="{FF2B5EF4-FFF2-40B4-BE49-F238E27FC236}">
              <a16:creationId xmlns:a16="http://schemas.microsoft.com/office/drawing/2014/main" id="{00000000-0008-0000-0F00-000077000000}"/>
            </a:ext>
          </a:extLst>
        </xdr:cNvPr>
        <xdr:cNvSpPr txBox="1">
          <a:spLocks noChangeArrowheads="1"/>
        </xdr:cNvSpPr>
      </xdr:nvSpPr>
      <xdr:spPr bwMode="auto">
        <a:xfrm>
          <a:off x="6057900" y="5353050"/>
          <a:ext cx="114300" cy="9429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114300</xdr:colOff>
      <xdr:row>13</xdr:row>
      <xdr:rowOff>333374</xdr:rowOff>
    </xdr:to>
    <xdr:sp macro="" textlink="">
      <xdr:nvSpPr>
        <xdr:cNvPr id="120" name="Text Box 206">
          <a:extLst>
            <a:ext uri="{FF2B5EF4-FFF2-40B4-BE49-F238E27FC236}">
              <a16:creationId xmlns:a16="http://schemas.microsoft.com/office/drawing/2014/main" id="{00000000-0008-0000-0F00-000078000000}"/>
            </a:ext>
          </a:extLst>
        </xdr:cNvPr>
        <xdr:cNvSpPr txBox="1">
          <a:spLocks noChangeArrowheads="1"/>
        </xdr:cNvSpPr>
      </xdr:nvSpPr>
      <xdr:spPr bwMode="auto">
        <a:xfrm>
          <a:off x="6057900" y="5353050"/>
          <a:ext cx="114300" cy="9429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333374</xdr:rowOff>
    </xdr:to>
    <xdr:sp macro="" textlink="">
      <xdr:nvSpPr>
        <xdr:cNvPr id="121" name="Text Box 207">
          <a:extLst>
            <a:ext uri="{FF2B5EF4-FFF2-40B4-BE49-F238E27FC236}">
              <a16:creationId xmlns:a16="http://schemas.microsoft.com/office/drawing/2014/main" id="{00000000-0008-0000-0F00-000079000000}"/>
            </a:ext>
          </a:extLst>
        </xdr:cNvPr>
        <xdr:cNvSpPr txBox="1">
          <a:spLocks noChangeArrowheads="1"/>
        </xdr:cNvSpPr>
      </xdr:nvSpPr>
      <xdr:spPr bwMode="auto">
        <a:xfrm>
          <a:off x="6057900" y="5353050"/>
          <a:ext cx="123825" cy="9429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333374</xdr:rowOff>
    </xdr:to>
    <xdr:sp macro="" textlink="">
      <xdr:nvSpPr>
        <xdr:cNvPr id="122" name="Text Box 208">
          <a:extLst>
            <a:ext uri="{FF2B5EF4-FFF2-40B4-BE49-F238E27FC236}">
              <a16:creationId xmlns:a16="http://schemas.microsoft.com/office/drawing/2014/main" id="{00000000-0008-0000-0F00-00007A000000}"/>
            </a:ext>
          </a:extLst>
        </xdr:cNvPr>
        <xdr:cNvSpPr txBox="1">
          <a:spLocks noChangeArrowheads="1"/>
        </xdr:cNvSpPr>
      </xdr:nvSpPr>
      <xdr:spPr bwMode="auto">
        <a:xfrm>
          <a:off x="6057900" y="5353050"/>
          <a:ext cx="123825" cy="9429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333374</xdr:rowOff>
    </xdr:to>
    <xdr:sp macro="" textlink="">
      <xdr:nvSpPr>
        <xdr:cNvPr id="123" name="Text Box 209">
          <a:extLst>
            <a:ext uri="{FF2B5EF4-FFF2-40B4-BE49-F238E27FC236}">
              <a16:creationId xmlns:a16="http://schemas.microsoft.com/office/drawing/2014/main" id="{00000000-0008-0000-0F00-00007B000000}"/>
            </a:ext>
          </a:extLst>
        </xdr:cNvPr>
        <xdr:cNvSpPr txBox="1">
          <a:spLocks noChangeArrowheads="1"/>
        </xdr:cNvSpPr>
      </xdr:nvSpPr>
      <xdr:spPr bwMode="auto">
        <a:xfrm>
          <a:off x="6057900" y="5353050"/>
          <a:ext cx="123825" cy="9429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333374</xdr:rowOff>
    </xdr:to>
    <xdr:sp macro="" textlink="">
      <xdr:nvSpPr>
        <xdr:cNvPr id="124" name="Text Box 210">
          <a:extLst>
            <a:ext uri="{FF2B5EF4-FFF2-40B4-BE49-F238E27FC236}">
              <a16:creationId xmlns:a16="http://schemas.microsoft.com/office/drawing/2014/main" id="{00000000-0008-0000-0F00-00007C000000}"/>
            </a:ext>
          </a:extLst>
        </xdr:cNvPr>
        <xdr:cNvSpPr txBox="1">
          <a:spLocks noChangeArrowheads="1"/>
        </xdr:cNvSpPr>
      </xdr:nvSpPr>
      <xdr:spPr bwMode="auto">
        <a:xfrm>
          <a:off x="6057900" y="5353050"/>
          <a:ext cx="123825" cy="9429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219074</xdr:rowOff>
    </xdr:to>
    <xdr:sp macro="" textlink="">
      <xdr:nvSpPr>
        <xdr:cNvPr id="125" name="Text Box 211">
          <a:extLst>
            <a:ext uri="{FF2B5EF4-FFF2-40B4-BE49-F238E27FC236}">
              <a16:creationId xmlns:a16="http://schemas.microsoft.com/office/drawing/2014/main" id="{00000000-0008-0000-0F00-00007D000000}"/>
            </a:ext>
          </a:extLst>
        </xdr:cNvPr>
        <xdr:cNvSpPr txBox="1">
          <a:spLocks noChangeArrowheads="1"/>
        </xdr:cNvSpPr>
      </xdr:nvSpPr>
      <xdr:spPr bwMode="auto">
        <a:xfrm>
          <a:off x="6057900" y="5353050"/>
          <a:ext cx="123825" cy="8286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219074</xdr:rowOff>
    </xdr:to>
    <xdr:sp macro="" textlink="">
      <xdr:nvSpPr>
        <xdr:cNvPr id="126" name="Text Box 212">
          <a:extLst>
            <a:ext uri="{FF2B5EF4-FFF2-40B4-BE49-F238E27FC236}">
              <a16:creationId xmlns:a16="http://schemas.microsoft.com/office/drawing/2014/main" id="{00000000-0008-0000-0F00-00007E000000}"/>
            </a:ext>
          </a:extLst>
        </xdr:cNvPr>
        <xdr:cNvSpPr txBox="1">
          <a:spLocks noChangeArrowheads="1"/>
        </xdr:cNvSpPr>
      </xdr:nvSpPr>
      <xdr:spPr bwMode="auto">
        <a:xfrm>
          <a:off x="6057900" y="5353050"/>
          <a:ext cx="123825" cy="8286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219074</xdr:rowOff>
    </xdr:to>
    <xdr:sp macro="" textlink="">
      <xdr:nvSpPr>
        <xdr:cNvPr id="127" name="Text Box 213">
          <a:extLst>
            <a:ext uri="{FF2B5EF4-FFF2-40B4-BE49-F238E27FC236}">
              <a16:creationId xmlns:a16="http://schemas.microsoft.com/office/drawing/2014/main" id="{00000000-0008-0000-0F00-00007F000000}"/>
            </a:ext>
          </a:extLst>
        </xdr:cNvPr>
        <xdr:cNvSpPr txBox="1">
          <a:spLocks noChangeArrowheads="1"/>
        </xdr:cNvSpPr>
      </xdr:nvSpPr>
      <xdr:spPr bwMode="auto">
        <a:xfrm>
          <a:off x="6057900" y="5353050"/>
          <a:ext cx="123825" cy="828675"/>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219074</xdr:rowOff>
    </xdr:to>
    <xdr:sp macro="" textlink="">
      <xdr:nvSpPr>
        <xdr:cNvPr id="128" name="Text Box 214">
          <a:extLst>
            <a:ext uri="{FF2B5EF4-FFF2-40B4-BE49-F238E27FC236}">
              <a16:creationId xmlns:a16="http://schemas.microsoft.com/office/drawing/2014/main" id="{00000000-0008-0000-0F00-000080000000}"/>
            </a:ext>
          </a:extLst>
        </xdr:cNvPr>
        <xdr:cNvSpPr txBox="1">
          <a:spLocks noChangeArrowheads="1"/>
        </xdr:cNvSpPr>
      </xdr:nvSpPr>
      <xdr:spPr bwMode="auto">
        <a:xfrm>
          <a:off x="6057900" y="5353050"/>
          <a:ext cx="123825" cy="82867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16</xdr:row>
      <xdr:rowOff>161925</xdr:rowOff>
    </xdr:to>
    <xdr:sp macro="" textlink="">
      <xdr:nvSpPr>
        <xdr:cNvPr id="129" name="Text Box 216">
          <a:extLst>
            <a:ext uri="{FF2B5EF4-FFF2-40B4-BE49-F238E27FC236}">
              <a16:creationId xmlns:a16="http://schemas.microsoft.com/office/drawing/2014/main" id="{00000000-0008-0000-0F00-000081000000}"/>
            </a:ext>
          </a:extLst>
        </xdr:cNvPr>
        <xdr:cNvSpPr txBox="1">
          <a:spLocks noChangeArrowheads="1"/>
        </xdr:cNvSpPr>
      </xdr:nvSpPr>
      <xdr:spPr bwMode="auto">
        <a:xfrm>
          <a:off x="6057900" y="5676900"/>
          <a:ext cx="123825" cy="83820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16</xdr:row>
      <xdr:rowOff>161925</xdr:rowOff>
    </xdr:to>
    <xdr:sp macro="" textlink="">
      <xdr:nvSpPr>
        <xdr:cNvPr id="130" name="Text Box 217">
          <a:extLst>
            <a:ext uri="{FF2B5EF4-FFF2-40B4-BE49-F238E27FC236}">
              <a16:creationId xmlns:a16="http://schemas.microsoft.com/office/drawing/2014/main" id="{00000000-0008-0000-0F00-000082000000}"/>
            </a:ext>
          </a:extLst>
        </xdr:cNvPr>
        <xdr:cNvSpPr txBox="1">
          <a:spLocks noChangeArrowheads="1"/>
        </xdr:cNvSpPr>
      </xdr:nvSpPr>
      <xdr:spPr bwMode="auto">
        <a:xfrm>
          <a:off x="6057900" y="5676900"/>
          <a:ext cx="123825" cy="83820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16</xdr:row>
      <xdr:rowOff>161925</xdr:rowOff>
    </xdr:to>
    <xdr:sp macro="" textlink="">
      <xdr:nvSpPr>
        <xdr:cNvPr id="131" name="Text Box 218">
          <a:extLst>
            <a:ext uri="{FF2B5EF4-FFF2-40B4-BE49-F238E27FC236}">
              <a16:creationId xmlns:a16="http://schemas.microsoft.com/office/drawing/2014/main" id="{00000000-0008-0000-0F00-000083000000}"/>
            </a:ext>
          </a:extLst>
        </xdr:cNvPr>
        <xdr:cNvSpPr txBox="1">
          <a:spLocks noChangeArrowheads="1"/>
        </xdr:cNvSpPr>
      </xdr:nvSpPr>
      <xdr:spPr bwMode="auto">
        <a:xfrm>
          <a:off x="6057900" y="5676900"/>
          <a:ext cx="123825" cy="83820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16</xdr:row>
      <xdr:rowOff>161925</xdr:rowOff>
    </xdr:to>
    <xdr:sp macro="" textlink="">
      <xdr:nvSpPr>
        <xdr:cNvPr id="132" name="Text Box 219">
          <a:extLst>
            <a:ext uri="{FF2B5EF4-FFF2-40B4-BE49-F238E27FC236}">
              <a16:creationId xmlns:a16="http://schemas.microsoft.com/office/drawing/2014/main" id="{00000000-0008-0000-0F00-000084000000}"/>
            </a:ext>
          </a:extLst>
        </xdr:cNvPr>
        <xdr:cNvSpPr txBox="1">
          <a:spLocks noChangeArrowheads="1"/>
        </xdr:cNvSpPr>
      </xdr:nvSpPr>
      <xdr:spPr bwMode="auto">
        <a:xfrm>
          <a:off x="6057900" y="5676900"/>
          <a:ext cx="123825" cy="83820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16</xdr:row>
      <xdr:rowOff>161925</xdr:rowOff>
    </xdr:to>
    <xdr:sp macro="" textlink="">
      <xdr:nvSpPr>
        <xdr:cNvPr id="133" name="Text Box 220">
          <a:extLst>
            <a:ext uri="{FF2B5EF4-FFF2-40B4-BE49-F238E27FC236}">
              <a16:creationId xmlns:a16="http://schemas.microsoft.com/office/drawing/2014/main" id="{00000000-0008-0000-0F00-000085000000}"/>
            </a:ext>
          </a:extLst>
        </xdr:cNvPr>
        <xdr:cNvSpPr txBox="1">
          <a:spLocks noChangeArrowheads="1"/>
        </xdr:cNvSpPr>
      </xdr:nvSpPr>
      <xdr:spPr bwMode="auto">
        <a:xfrm>
          <a:off x="6057900" y="5676900"/>
          <a:ext cx="123825" cy="83820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16</xdr:row>
      <xdr:rowOff>161925</xdr:rowOff>
    </xdr:to>
    <xdr:sp macro="" textlink="">
      <xdr:nvSpPr>
        <xdr:cNvPr id="134" name="Text Box 221">
          <a:extLst>
            <a:ext uri="{FF2B5EF4-FFF2-40B4-BE49-F238E27FC236}">
              <a16:creationId xmlns:a16="http://schemas.microsoft.com/office/drawing/2014/main" id="{00000000-0008-0000-0F00-000086000000}"/>
            </a:ext>
          </a:extLst>
        </xdr:cNvPr>
        <xdr:cNvSpPr txBox="1">
          <a:spLocks noChangeArrowheads="1"/>
        </xdr:cNvSpPr>
      </xdr:nvSpPr>
      <xdr:spPr bwMode="auto">
        <a:xfrm>
          <a:off x="6057900" y="5676900"/>
          <a:ext cx="123825" cy="83820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16</xdr:row>
      <xdr:rowOff>161925</xdr:rowOff>
    </xdr:to>
    <xdr:sp macro="" textlink="">
      <xdr:nvSpPr>
        <xdr:cNvPr id="135" name="Text Box 222">
          <a:extLst>
            <a:ext uri="{FF2B5EF4-FFF2-40B4-BE49-F238E27FC236}">
              <a16:creationId xmlns:a16="http://schemas.microsoft.com/office/drawing/2014/main" id="{00000000-0008-0000-0F00-000087000000}"/>
            </a:ext>
          </a:extLst>
        </xdr:cNvPr>
        <xdr:cNvSpPr txBox="1">
          <a:spLocks noChangeArrowheads="1"/>
        </xdr:cNvSpPr>
      </xdr:nvSpPr>
      <xdr:spPr bwMode="auto">
        <a:xfrm>
          <a:off x="6057900" y="5676900"/>
          <a:ext cx="123825" cy="83820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16</xdr:row>
      <xdr:rowOff>161925</xdr:rowOff>
    </xdr:to>
    <xdr:sp macro="" textlink="">
      <xdr:nvSpPr>
        <xdr:cNvPr id="136" name="Text Box 223">
          <a:extLst>
            <a:ext uri="{FF2B5EF4-FFF2-40B4-BE49-F238E27FC236}">
              <a16:creationId xmlns:a16="http://schemas.microsoft.com/office/drawing/2014/main" id="{00000000-0008-0000-0F00-000088000000}"/>
            </a:ext>
          </a:extLst>
        </xdr:cNvPr>
        <xdr:cNvSpPr txBox="1">
          <a:spLocks noChangeArrowheads="1"/>
        </xdr:cNvSpPr>
      </xdr:nvSpPr>
      <xdr:spPr bwMode="auto">
        <a:xfrm>
          <a:off x="6057900" y="5676900"/>
          <a:ext cx="123825" cy="83820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114300</xdr:colOff>
      <xdr:row>17</xdr:row>
      <xdr:rowOff>96611</xdr:rowOff>
    </xdr:to>
    <xdr:sp macro="" textlink="">
      <xdr:nvSpPr>
        <xdr:cNvPr id="137" name="Text Box 224">
          <a:extLst>
            <a:ext uri="{FF2B5EF4-FFF2-40B4-BE49-F238E27FC236}">
              <a16:creationId xmlns:a16="http://schemas.microsoft.com/office/drawing/2014/main" id="{00000000-0008-0000-0F00-000089000000}"/>
            </a:ext>
          </a:extLst>
        </xdr:cNvPr>
        <xdr:cNvSpPr txBox="1">
          <a:spLocks noChangeArrowheads="1"/>
        </xdr:cNvSpPr>
      </xdr:nvSpPr>
      <xdr:spPr bwMode="auto">
        <a:xfrm>
          <a:off x="6057900" y="5676900"/>
          <a:ext cx="114300" cy="93345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17</xdr:row>
      <xdr:rowOff>96611</xdr:rowOff>
    </xdr:to>
    <xdr:sp macro="" textlink="">
      <xdr:nvSpPr>
        <xdr:cNvPr id="138" name="Text Box 226">
          <a:extLst>
            <a:ext uri="{FF2B5EF4-FFF2-40B4-BE49-F238E27FC236}">
              <a16:creationId xmlns:a16="http://schemas.microsoft.com/office/drawing/2014/main" id="{00000000-0008-0000-0F00-00008A000000}"/>
            </a:ext>
          </a:extLst>
        </xdr:cNvPr>
        <xdr:cNvSpPr txBox="1">
          <a:spLocks noChangeArrowheads="1"/>
        </xdr:cNvSpPr>
      </xdr:nvSpPr>
      <xdr:spPr bwMode="auto">
        <a:xfrm>
          <a:off x="6057900" y="5676900"/>
          <a:ext cx="123825" cy="93345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17</xdr:row>
      <xdr:rowOff>96611</xdr:rowOff>
    </xdr:to>
    <xdr:sp macro="" textlink="">
      <xdr:nvSpPr>
        <xdr:cNvPr id="139" name="Text Box 227">
          <a:extLst>
            <a:ext uri="{FF2B5EF4-FFF2-40B4-BE49-F238E27FC236}">
              <a16:creationId xmlns:a16="http://schemas.microsoft.com/office/drawing/2014/main" id="{00000000-0008-0000-0F00-00008B000000}"/>
            </a:ext>
          </a:extLst>
        </xdr:cNvPr>
        <xdr:cNvSpPr txBox="1">
          <a:spLocks noChangeArrowheads="1"/>
        </xdr:cNvSpPr>
      </xdr:nvSpPr>
      <xdr:spPr bwMode="auto">
        <a:xfrm>
          <a:off x="6057900" y="5676900"/>
          <a:ext cx="123825" cy="93345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17</xdr:row>
      <xdr:rowOff>96611</xdr:rowOff>
    </xdr:to>
    <xdr:sp macro="" textlink="">
      <xdr:nvSpPr>
        <xdr:cNvPr id="140" name="Text Box 228">
          <a:extLst>
            <a:ext uri="{FF2B5EF4-FFF2-40B4-BE49-F238E27FC236}">
              <a16:creationId xmlns:a16="http://schemas.microsoft.com/office/drawing/2014/main" id="{00000000-0008-0000-0F00-00008C000000}"/>
            </a:ext>
          </a:extLst>
        </xdr:cNvPr>
        <xdr:cNvSpPr txBox="1">
          <a:spLocks noChangeArrowheads="1"/>
        </xdr:cNvSpPr>
      </xdr:nvSpPr>
      <xdr:spPr bwMode="auto">
        <a:xfrm>
          <a:off x="6057900" y="5676900"/>
          <a:ext cx="123825" cy="93345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17</xdr:row>
      <xdr:rowOff>96611</xdr:rowOff>
    </xdr:to>
    <xdr:sp macro="" textlink="">
      <xdr:nvSpPr>
        <xdr:cNvPr id="141" name="Text Box 229">
          <a:extLst>
            <a:ext uri="{FF2B5EF4-FFF2-40B4-BE49-F238E27FC236}">
              <a16:creationId xmlns:a16="http://schemas.microsoft.com/office/drawing/2014/main" id="{00000000-0008-0000-0F00-00008D000000}"/>
            </a:ext>
          </a:extLst>
        </xdr:cNvPr>
        <xdr:cNvSpPr txBox="1">
          <a:spLocks noChangeArrowheads="1"/>
        </xdr:cNvSpPr>
      </xdr:nvSpPr>
      <xdr:spPr bwMode="auto">
        <a:xfrm>
          <a:off x="6057900" y="5676900"/>
          <a:ext cx="123825" cy="93345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16</xdr:row>
      <xdr:rowOff>161925</xdr:rowOff>
    </xdr:to>
    <xdr:sp macro="" textlink="">
      <xdr:nvSpPr>
        <xdr:cNvPr id="142" name="Text Box 230">
          <a:extLst>
            <a:ext uri="{FF2B5EF4-FFF2-40B4-BE49-F238E27FC236}">
              <a16:creationId xmlns:a16="http://schemas.microsoft.com/office/drawing/2014/main" id="{00000000-0008-0000-0F00-00008E000000}"/>
            </a:ext>
          </a:extLst>
        </xdr:cNvPr>
        <xdr:cNvSpPr txBox="1">
          <a:spLocks noChangeArrowheads="1"/>
        </xdr:cNvSpPr>
      </xdr:nvSpPr>
      <xdr:spPr bwMode="auto">
        <a:xfrm>
          <a:off x="6057900" y="5676900"/>
          <a:ext cx="123825" cy="83820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16</xdr:row>
      <xdr:rowOff>161925</xdr:rowOff>
    </xdr:to>
    <xdr:sp macro="" textlink="">
      <xdr:nvSpPr>
        <xdr:cNvPr id="143" name="Text Box 231">
          <a:extLst>
            <a:ext uri="{FF2B5EF4-FFF2-40B4-BE49-F238E27FC236}">
              <a16:creationId xmlns:a16="http://schemas.microsoft.com/office/drawing/2014/main" id="{00000000-0008-0000-0F00-00008F000000}"/>
            </a:ext>
          </a:extLst>
        </xdr:cNvPr>
        <xdr:cNvSpPr txBox="1">
          <a:spLocks noChangeArrowheads="1"/>
        </xdr:cNvSpPr>
      </xdr:nvSpPr>
      <xdr:spPr bwMode="auto">
        <a:xfrm>
          <a:off x="6057900" y="5676900"/>
          <a:ext cx="123825" cy="83820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16</xdr:row>
      <xdr:rowOff>161925</xdr:rowOff>
    </xdr:to>
    <xdr:sp macro="" textlink="">
      <xdr:nvSpPr>
        <xdr:cNvPr id="144" name="Text Box 232">
          <a:extLst>
            <a:ext uri="{FF2B5EF4-FFF2-40B4-BE49-F238E27FC236}">
              <a16:creationId xmlns:a16="http://schemas.microsoft.com/office/drawing/2014/main" id="{00000000-0008-0000-0F00-000090000000}"/>
            </a:ext>
          </a:extLst>
        </xdr:cNvPr>
        <xdr:cNvSpPr txBox="1">
          <a:spLocks noChangeArrowheads="1"/>
        </xdr:cNvSpPr>
      </xdr:nvSpPr>
      <xdr:spPr bwMode="auto">
        <a:xfrm>
          <a:off x="6057900" y="5676900"/>
          <a:ext cx="123825" cy="83820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16</xdr:row>
      <xdr:rowOff>161925</xdr:rowOff>
    </xdr:to>
    <xdr:sp macro="" textlink="">
      <xdr:nvSpPr>
        <xdr:cNvPr id="145" name="Text Box 233">
          <a:extLst>
            <a:ext uri="{FF2B5EF4-FFF2-40B4-BE49-F238E27FC236}">
              <a16:creationId xmlns:a16="http://schemas.microsoft.com/office/drawing/2014/main" id="{00000000-0008-0000-0F00-000091000000}"/>
            </a:ext>
          </a:extLst>
        </xdr:cNvPr>
        <xdr:cNvSpPr txBox="1">
          <a:spLocks noChangeArrowheads="1"/>
        </xdr:cNvSpPr>
      </xdr:nvSpPr>
      <xdr:spPr bwMode="auto">
        <a:xfrm>
          <a:off x="6057900" y="5676900"/>
          <a:ext cx="123825" cy="83820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123825</xdr:colOff>
      <xdr:row>16</xdr:row>
      <xdr:rowOff>161925</xdr:rowOff>
    </xdr:to>
    <xdr:sp macro="" textlink="">
      <xdr:nvSpPr>
        <xdr:cNvPr id="146" name="Text Box 234">
          <a:extLst>
            <a:ext uri="{FF2B5EF4-FFF2-40B4-BE49-F238E27FC236}">
              <a16:creationId xmlns:a16="http://schemas.microsoft.com/office/drawing/2014/main" id="{00000000-0008-0000-0F00-000092000000}"/>
            </a:ext>
          </a:extLst>
        </xdr:cNvPr>
        <xdr:cNvSpPr txBox="1">
          <a:spLocks noChangeArrowheads="1"/>
        </xdr:cNvSpPr>
      </xdr:nvSpPr>
      <xdr:spPr bwMode="auto">
        <a:xfrm>
          <a:off x="6057900" y="5676900"/>
          <a:ext cx="123825" cy="83820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16</xdr:row>
      <xdr:rowOff>161925</xdr:rowOff>
    </xdr:to>
    <xdr:sp macro="" textlink="">
      <xdr:nvSpPr>
        <xdr:cNvPr id="147" name="Text Box 216">
          <a:extLst>
            <a:ext uri="{FF2B5EF4-FFF2-40B4-BE49-F238E27FC236}">
              <a16:creationId xmlns:a16="http://schemas.microsoft.com/office/drawing/2014/main" id="{00000000-0008-0000-0F00-000093000000}"/>
            </a:ext>
          </a:extLst>
        </xdr:cNvPr>
        <xdr:cNvSpPr txBox="1">
          <a:spLocks noChangeArrowheads="1"/>
        </xdr:cNvSpPr>
      </xdr:nvSpPr>
      <xdr:spPr bwMode="auto">
        <a:xfrm>
          <a:off x="3102429" y="5510893"/>
          <a:ext cx="123825" cy="842282"/>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16</xdr:row>
      <xdr:rowOff>161925</xdr:rowOff>
    </xdr:to>
    <xdr:sp macro="" textlink="">
      <xdr:nvSpPr>
        <xdr:cNvPr id="148" name="Text Box 217">
          <a:extLst>
            <a:ext uri="{FF2B5EF4-FFF2-40B4-BE49-F238E27FC236}">
              <a16:creationId xmlns:a16="http://schemas.microsoft.com/office/drawing/2014/main" id="{00000000-0008-0000-0F00-000094000000}"/>
            </a:ext>
          </a:extLst>
        </xdr:cNvPr>
        <xdr:cNvSpPr txBox="1">
          <a:spLocks noChangeArrowheads="1"/>
        </xdr:cNvSpPr>
      </xdr:nvSpPr>
      <xdr:spPr bwMode="auto">
        <a:xfrm>
          <a:off x="3102429" y="5510893"/>
          <a:ext cx="123825" cy="842282"/>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16</xdr:row>
      <xdr:rowOff>161925</xdr:rowOff>
    </xdr:to>
    <xdr:sp macro="" textlink="">
      <xdr:nvSpPr>
        <xdr:cNvPr id="149" name="Text Box 218">
          <a:extLst>
            <a:ext uri="{FF2B5EF4-FFF2-40B4-BE49-F238E27FC236}">
              <a16:creationId xmlns:a16="http://schemas.microsoft.com/office/drawing/2014/main" id="{00000000-0008-0000-0F00-000095000000}"/>
            </a:ext>
          </a:extLst>
        </xdr:cNvPr>
        <xdr:cNvSpPr txBox="1">
          <a:spLocks noChangeArrowheads="1"/>
        </xdr:cNvSpPr>
      </xdr:nvSpPr>
      <xdr:spPr bwMode="auto">
        <a:xfrm>
          <a:off x="3102429" y="5510893"/>
          <a:ext cx="123825" cy="842282"/>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16</xdr:row>
      <xdr:rowOff>161925</xdr:rowOff>
    </xdr:to>
    <xdr:sp macro="" textlink="">
      <xdr:nvSpPr>
        <xdr:cNvPr id="150" name="Text Box 219">
          <a:extLst>
            <a:ext uri="{FF2B5EF4-FFF2-40B4-BE49-F238E27FC236}">
              <a16:creationId xmlns:a16="http://schemas.microsoft.com/office/drawing/2014/main" id="{00000000-0008-0000-0F00-000096000000}"/>
            </a:ext>
          </a:extLst>
        </xdr:cNvPr>
        <xdr:cNvSpPr txBox="1">
          <a:spLocks noChangeArrowheads="1"/>
        </xdr:cNvSpPr>
      </xdr:nvSpPr>
      <xdr:spPr bwMode="auto">
        <a:xfrm>
          <a:off x="3102429" y="5510893"/>
          <a:ext cx="123825" cy="842282"/>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16</xdr:row>
      <xdr:rowOff>161925</xdr:rowOff>
    </xdr:to>
    <xdr:sp macro="" textlink="">
      <xdr:nvSpPr>
        <xdr:cNvPr id="151" name="Text Box 220">
          <a:extLst>
            <a:ext uri="{FF2B5EF4-FFF2-40B4-BE49-F238E27FC236}">
              <a16:creationId xmlns:a16="http://schemas.microsoft.com/office/drawing/2014/main" id="{00000000-0008-0000-0F00-000097000000}"/>
            </a:ext>
          </a:extLst>
        </xdr:cNvPr>
        <xdr:cNvSpPr txBox="1">
          <a:spLocks noChangeArrowheads="1"/>
        </xdr:cNvSpPr>
      </xdr:nvSpPr>
      <xdr:spPr bwMode="auto">
        <a:xfrm>
          <a:off x="3102429" y="5510893"/>
          <a:ext cx="123825" cy="842282"/>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16</xdr:row>
      <xdr:rowOff>161925</xdr:rowOff>
    </xdr:to>
    <xdr:sp macro="" textlink="">
      <xdr:nvSpPr>
        <xdr:cNvPr id="152" name="Text Box 221">
          <a:extLst>
            <a:ext uri="{FF2B5EF4-FFF2-40B4-BE49-F238E27FC236}">
              <a16:creationId xmlns:a16="http://schemas.microsoft.com/office/drawing/2014/main" id="{00000000-0008-0000-0F00-000098000000}"/>
            </a:ext>
          </a:extLst>
        </xdr:cNvPr>
        <xdr:cNvSpPr txBox="1">
          <a:spLocks noChangeArrowheads="1"/>
        </xdr:cNvSpPr>
      </xdr:nvSpPr>
      <xdr:spPr bwMode="auto">
        <a:xfrm>
          <a:off x="3102429" y="5510893"/>
          <a:ext cx="123825" cy="842282"/>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16</xdr:row>
      <xdr:rowOff>161925</xdr:rowOff>
    </xdr:to>
    <xdr:sp macro="" textlink="">
      <xdr:nvSpPr>
        <xdr:cNvPr id="153" name="Text Box 222">
          <a:extLst>
            <a:ext uri="{FF2B5EF4-FFF2-40B4-BE49-F238E27FC236}">
              <a16:creationId xmlns:a16="http://schemas.microsoft.com/office/drawing/2014/main" id="{00000000-0008-0000-0F00-000099000000}"/>
            </a:ext>
          </a:extLst>
        </xdr:cNvPr>
        <xdr:cNvSpPr txBox="1">
          <a:spLocks noChangeArrowheads="1"/>
        </xdr:cNvSpPr>
      </xdr:nvSpPr>
      <xdr:spPr bwMode="auto">
        <a:xfrm>
          <a:off x="3102429" y="5510893"/>
          <a:ext cx="123825" cy="842282"/>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16</xdr:row>
      <xdr:rowOff>161925</xdr:rowOff>
    </xdr:to>
    <xdr:sp macro="" textlink="">
      <xdr:nvSpPr>
        <xdr:cNvPr id="154" name="Text Box 223">
          <a:extLst>
            <a:ext uri="{FF2B5EF4-FFF2-40B4-BE49-F238E27FC236}">
              <a16:creationId xmlns:a16="http://schemas.microsoft.com/office/drawing/2014/main" id="{00000000-0008-0000-0F00-00009A000000}"/>
            </a:ext>
          </a:extLst>
        </xdr:cNvPr>
        <xdr:cNvSpPr txBox="1">
          <a:spLocks noChangeArrowheads="1"/>
        </xdr:cNvSpPr>
      </xdr:nvSpPr>
      <xdr:spPr bwMode="auto">
        <a:xfrm>
          <a:off x="3102429" y="5510893"/>
          <a:ext cx="123825" cy="842282"/>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114300</xdr:colOff>
      <xdr:row>17</xdr:row>
      <xdr:rowOff>96611</xdr:rowOff>
    </xdr:to>
    <xdr:sp macro="" textlink="">
      <xdr:nvSpPr>
        <xdr:cNvPr id="155" name="Text Box 224">
          <a:extLst>
            <a:ext uri="{FF2B5EF4-FFF2-40B4-BE49-F238E27FC236}">
              <a16:creationId xmlns:a16="http://schemas.microsoft.com/office/drawing/2014/main" id="{00000000-0008-0000-0F00-00009B000000}"/>
            </a:ext>
          </a:extLst>
        </xdr:cNvPr>
        <xdr:cNvSpPr txBox="1">
          <a:spLocks noChangeArrowheads="1"/>
        </xdr:cNvSpPr>
      </xdr:nvSpPr>
      <xdr:spPr bwMode="auto">
        <a:xfrm>
          <a:off x="3102429" y="5510893"/>
          <a:ext cx="114300" cy="94025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17</xdr:row>
      <xdr:rowOff>96611</xdr:rowOff>
    </xdr:to>
    <xdr:sp macro="" textlink="">
      <xdr:nvSpPr>
        <xdr:cNvPr id="156" name="Text Box 226">
          <a:extLst>
            <a:ext uri="{FF2B5EF4-FFF2-40B4-BE49-F238E27FC236}">
              <a16:creationId xmlns:a16="http://schemas.microsoft.com/office/drawing/2014/main" id="{00000000-0008-0000-0F00-00009C000000}"/>
            </a:ext>
          </a:extLst>
        </xdr:cNvPr>
        <xdr:cNvSpPr txBox="1">
          <a:spLocks noChangeArrowheads="1"/>
        </xdr:cNvSpPr>
      </xdr:nvSpPr>
      <xdr:spPr bwMode="auto">
        <a:xfrm>
          <a:off x="3102429" y="5510893"/>
          <a:ext cx="123825" cy="94025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17</xdr:row>
      <xdr:rowOff>96611</xdr:rowOff>
    </xdr:to>
    <xdr:sp macro="" textlink="">
      <xdr:nvSpPr>
        <xdr:cNvPr id="157" name="Text Box 227">
          <a:extLst>
            <a:ext uri="{FF2B5EF4-FFF2-40B4-BE49-F238E27FC236}">
              <a16:creationId xmlns:a16="http://schemas.microsoft.com/office/drawing/2014/main" id="{00000000-0008-0000-0F00-00009D000000}"/>
            </a:ext>
          </a:extLst>
        </xdr:cNvPr>
        <xdr:cNvSpPr txBox="1">
          <a:spLocks noChangeArrowheads="1"/>
        </xdr:cNvSpPr>
      </xdr:nvSpPr>
      <xdr:spPr bwMode="auto">
        <a:xfrm>
          <a:off x="3102429" y="5510893"/>
          <a:ext cx="123825" cy="94025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17</xdr:row>
      <xdr:rowOff>96611</xdr:rowOff>
    </xdr:to>
    <xdr:sp macro="" textlink="">
      <xdr:nvSpPr>
        <xdr:cNvPr id="158" name="Text Box 228">
          <a:extLst>
            <a:ext uri="{FF2B5EF4-FFF2-40B4-BE49-F238E27FC236}">
              <a16:creationId xmlns:a16="http://schemas.microsoft.com/office/drawing/2014/main" id="{00000000-0008-0000-0F00-00009E000000}"/>
            </a:ext>
          </a:extLst>
        </xdr:cNvPr>
        <xdr:cNvSpPr txBox="1">
          <a:spLocks noChangeArrowheads="1"/>
        </xdr:cNvSpPr>
      </xdr:nvSpPr>
      <xdr:spPr bwMode="auto">
        <a:xfrm>
          <a:off x="3102429" y="5510893"/>
          <a:ext cx="123825" cy="94025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17</xdr:row>
      <xdr:rowOff>96611</xdr:rowOff>
    </xdr:to>
    <xdr:sp macro="" textlink="">
      <xdr:nvSpPr>
        <xdr:cNvPr id="159" name="Text Box 229">
          <a:extLst>
            <a:ext uri="{FF2B5EF4-FFF2-40B4-BE49-F238E27FC236}">
              <a16:creationId xmlns:a16="http://schemas.microsoft.com/office/drawing/2014/main" id="{00000000-0008-0000-0F00-00009F000000}"/>
            </a:ext>
          </a:extLst>
        </xdr:cNvPr>
        <xdr:cNvSpPr txBox="1">
          <a:spLocks noChangeArrowheads="1"/>
        </xdr:cNvSpPr>
      </xdr:nvSpPr>
      <xdr:spPr bwMode="auto">
        <a:xfrm>
          <a:off x="3102429" y="5510893"/>
          <a:ext cx="123825" cy="940254"/>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16</xdr:row>
      <xdr:rowOff>161925</xdr:rowOff>
    </xdr:to>
    <xdr:sp macro="" textlink="">
      <xdr:nvSpPr>
        <xdr:cNvPr id="160" name="Text Box 230">
          <a:extLst>
            <a:ext uri="{FF2B5EF4-FFF2-40B4-BE49-F238E27FC236}">
              <a16:creationId xmlns:a16="http://schemas.microsoft.com/office/drawing/2014/main" id="{00000000-0008-0000-0F00-0000A0000000}"/>
            </a:ext>
          </a:extLst>
        </xdr:cNvPr>
        <xdr:cNvSpPr txBox="1">
          <a:spLocks noChangeArrowheads="1"/>
        </xdr:cNvSpPr>
      </xdr:nvSpPr>
      <xdr:spPr bwMode="auto">
        <a:xfrm>
          <a:off x="3102429" y="5510893"/>
          <a:ext cx="123825" cy="842282"/>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16</xdr:row>
      <xdr:rowOff>161925</xdr:rowOff>
    </xdr:to>
    <xdr:sp macro="" textlink="">
      <xdr:nvSpPr>
        <xdr:cNvPr id="161" name="Text Box 231">
          <a:extLst>
            <a:ext uri="{FF2B5EF4-FFF2-40B4-BE49-F238E27FC236}">
              <a16:creationId xmlns:a16="http://schemas.microsoft.com/office/drawing/2014/main" id="{00000000-0008-0000-0F00-0000A1000000}"/>
            </a:ext>
          </a:extLst>
        </xdr:cNvPr>
        <xdr:cNvSpPr txBox="1">
          <a:spLocks noChangeArrowheads="1"/>
        </xdr:cNvSpPr>
      </xdr:nvSpPr>
      <xdr:spPr bwMode="auto">
        <a:xfrm>
          <a:off x="3102429" y="5510893"/>
          <a:ext cx="123825" cy="842282"/>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16</xdr:row>
      <xdr:rowOff>161925</xdr:rowOff>
    </xdr:to>
    <xdr:sp macro="" textlink="">
      <xdr:nvSpPr>
        <xdr:cNvPr id="162" name="Text Box 232">
          <a:extLst>
            <a:ext uri="{FF2B5EF4-FFF2-40B4-BE49-F238E27FC236}">
              <a16:creationId xmlns:a16="http://schemas.microsoft.com/office/drawing/2014/main" id="{00000000-0008-0000-0F00-0000A2000000}"/>
            </a:ext>
          </a:extLst>
        </xdr:cNvPr>
        <xdr:cNvSpPr txBox="1">
          <a:spLocks noChangeArrowheads="1"/>
        </xdr:cNvSpPr>
      </xdr:nvSpPr>
      <xdr:spPr bwMode="auto">
        <a:xfrm>
          <a:off x="3102429" y="5510893"/>
          <a:ext cx="123825" cy="842282"/>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16</xdr:row>
      <xdr:rowOff>161925</xdr:rowOff>
    </xdr:to>
    <xdr:sp macro="" textlink="">
      <xdr:nvSpPr>
        <xdr:cNvPr id="163" name="Text Box 233">
          <a:extLst>
            <a:ext uri="{FF2B5EF4-FFF2-40B4-BE49-F238E27FC236}">
              <a16:creationId xmlns:a16="http://schemas.microsoft.com/office/drawing/2014/main" id="{00000000-0008-0000-0F00-0000A3000000}"/>
            </a:ext>
          </a:extLst>
        </xdr:cNvPr>
        <xdr:cNvSpPr txBox="1">
          <a:spLocks noChangeArrowheads="1"/>
        </xdr:cNvSpPr>
      </xdr:nvSpPr>
      <xdr:spPr bwMode="auto">
        <a:xfrm>
          <a:off x="3102429" y="5510893"/>
          <a:ext cx="123825" cy="842282"/>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6</xdr:col>
      <xdr:colOff>123825</xdr:colOff>
      <xdr:row>16</xdr:row>
      <xdr:rowOff>161925</xdr:rowOff>
    </xdr:to>
    <xdr:sp macro="" textlink="">
      <xdr:nvSpPr>
        <xdr:cNvPr id="164" name="Text Box 234">
          <a:extLst>
            <a:ext uri="{FF2B5EF4-FFF2-40B4-BE49-F238E27FC236}">
              <a16:creationId xmlns:a16="http://schemas.microsoft.com/office/drawing/2014/main" id="{00000000-0008-0000-0F00-0000A4000000}"/>
            </a:ext>
          </a:extLst>
        </xdr:cNvPr>
        <xdr:cNvSpPr txBox="1">
          <a:spLocks noChangeArrowheads="1"/>
        </xdr:cNvSpPr>
      </xdr:nvSpPr>
      <xdr:spPr bwMode="auto">
        <a:xfrm>
          <a:off x="3102429" y="5510893"/>
          <a:ext cx="123825" cy="842282"/>
        </a:xfrm>
        <a:prstGeom prst="rect">
          <a:avLst/>
        </a:prstGeom>
        <a:noFill/>
        <a:ln w="9525">
          <a:noFill/>
          <a:miter lim="800000"/>
          <a:headEnd/>
          <a:tailEnd/>
        </a:ln>
      </xdr:spPr>
    </xdr:sp>
    <xdr:clientData/>
  </xdr:twoCellAnchor>
  <xdr:oneCellAnchor>
    <xdr:from>
      <xdr:col>4</xdr:col>
      <xdr:colOff>0</xdr:colOff>
      <xdr:row>13</xdr:row>
      <xdr:rowOff>0</xdr:rowOff>
    </xdr:from>
    <xdr:ext cx="123825" cy="831396"/>
    <xdr:sp macro="" textlink="">
      <xdr:nvSpPr>
        <xdr:cNvPr id="165" name="Text Box 197">
          <a:extLst>
            <a:ext uri="{FF2B5EF4-FFF2-40B4-BE49-F238E27FC236}">
              <a16:creationId xmlns:a16="http://schemas.microsoft.com/office/drawing/2014/main" id="{00000000-0008-0000-0F00-0000A5000000}"/>
            </a:ext>
          </a:extLst>
        </xdr:cNvPr>
        <xdr:cNvSpPr txBox="1">
          <a:spLocks noChangeArrowheads="1"/>
        </xdr:cNvSpPr>
      </xdr:nvSpPr>
      <xdr:spPr bwMode="auto">
        <a:xfrm>
          <a:off x="3102429" y="5184321"/>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166" name="Text Box 198">
          <a:extLst>
            <a:ext uri="{FF2B5EF4-FFF2-40B4-BE49-F238E27FC236}">
              <a16:creationId xmlns:a16="http://schemas.microsoft.com/office/drawing/2014/main" id="{00000000-0008-0000-0F00-0000A6000000}"/>
            </a:ext>
          </a:extLst>
        </xdr:cNvPr>
        <xdr:cNvSpPr txBox="1">
          <a:spLocks noChangeArrowheads="1"/>
        </xdr:cNvSpPr>
      </xdr:nvSpPr>
      <xdr:spPr bwMode="auto">
        <a:xfrm>
          <a:off x="3102429" y="5184321"/>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167" name="Text Box 199">
          <a:extLst>
            <a:ext uri="{FF2B5EF4-FFF2-40B4-BE49-F238E27FC236}">
              <a16:creationId xmlns:a16="http://schemas.microsoft.com/office/drawing/2014/main" id="{00000000-0008-0000-0F00-0000A7000000}"/>
            </a:ext>
          </a:extLst>
        </xdr:cNvPr>
        <xdr:cNvSpPr txBox="1">
          <a:spLocks noChangeArrowheads="1"/>
        </xdr:cNvSpPr>
      </xdr:nvSpPr>
      <xdr:spPr bwMode="auto">
        <a:xfrm>
          <a:off x="3102429" y="5184321"/>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168" name="Text Box 200">
          <a:extLst>
            <a:ext uri="{FF2B5EF4-FFF2-40B4-BE49-F238E27FC236}">
              <a16:creationId xmlns:a16="http://schemas.microsoft.com/office/drawing/2014/main" id="{00000000-0008-0000-0F00-0000A8000000}"/>
            </a:ext>
          </a:extLst>
        </xdr:cNvPr>
        <xdr:cNvSpPr txBox="1">
          <a:spLocks noChangeArrowheads="1"/>
        </xdr:cNvSpPr>
      </xdr:nvSpPr>
      <xdr:spPr bwMode="auto">
        <a:xfrm>
          <a:off x="3102429" y="5184321"/>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169" name="Text Box 201">
          <a:extLst>
            <a:ext uri="{FF2B5EF4-FFF2-40B4-BE49-F238E27FC236}">
              <a16:creationId xmlns:a16="http://schemas.microsoft.com/office/drawing/2014/main" id="{00000000-0008-0000-0F00-0000A9000000}"/>
            </a:ext>
          </a:extLst>
        </xdr:cNvPr>
        <xdr:cNvSpPr txBox="1">
          <a:spLocks noChangeArrowheads="1"/>
        </xdr:cNvSpPr>
      </xdr:nvSpPr>
      <xdr:spPr bwMode="auto">
        <a:xfrm>
          <a:off x="3102429" y="5184321"/>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170" name="Text Box 202">
          <a:extLst>
            <a:ext uri="{FF2B5EF4-FFF2-40B4-BE49-F238E27FC236}">
              <a16:creationId xmlns:a16="http://schemas.microsoft.com/office/drawing/2014/main" id="{00000000-0008-0000-0F00-0000AA000000}"/>
            </a:ext>
          </a:extLst>
        </xdr:cNvPr>
        <xdr:cNvSpPr txBox="1">
          <a:spLocks noChangeArrowheads="1"/>
        </xdr:cNvSpPr>
      </xdr:nvSpPr>
      <xdr:spPr bwMode="auto">
        <a:xfrm>
          <a:off x="3102429" y="5184321"/>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171" name="Text Box 203">
          <a:extLst>
            <a:ext uri="{FF2B5EF4-FFF2-40B4-BE49-F238E27FC236}">
              <a16:creationId xmlns:a16="http://schemas.microsoft.com/office/drawing/2014/main" id="{00000000-0008-0000-0F00-0000AB000000}"/>
            </a:ext>
          </a:extLst>
        </xdr:cNvPr>
        <xdr:cNvSpPr txBox="1">
          <a:spLocks noChangeArrowheads="1"/>
        </xdr:cNvSpPr>
      </xdr:nvSpPr>
      <xdr:spPr bwMode="auto">
        <a:xfrm>
          <a:off x="3102429" y="5184321"/>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172" name="Text Box 204">
          <a:extLst>
            <a:ext uri="{FF2B5EF4-FFF2-40B4-BE49-F238E27FC236}">
              <a16:creationId xmlns:a16="http://schemas.microsoft.com/office/drawing/2014/main" id="{00000000-0008-0000-0F00-0000AC000000}"/>
            </a:ext>
          </a:extLst>
        </xdr:cNvPr>
        <xdr:cNvSpPr txBox="1">
          <a:spLocks noChangeArrowheads="1"/>
        </xdr:cNvSpPr>
      </xdr:nvSpPr>
      <xdr:spPr bwMode="auto">
        <a:xfrm>
          <a:off x="3102429" y="5184321"/>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14300" cy="945696"/>
    <xdr:sp macro="" textlink="">
      <xdr:nvSpPr>
        <xdr:cNvPr id="173" name="Text Box 205">
          <a:extLst>
            <a:ext uri="{FF2B5EF4-FFF2-40B4-BE49-F238E27FC236}">
              <a16:creationId xmlns:a16="http://schemas.microsoft.com/office/drawing/2014/main" id="{00000000-0008-0000-0F00-0000AD000000}"/>
            </a:ext>
          </a:extLst>
        </xdr:cNvPr>
        <xdr:cNvSpPr txBox="1">
          <a:spLocks noChangeArrowheads="1"/>
        </xdr:cNvSpPr>
      </xdr:nvSpPr>
      <xdr:spPr bwMode="auto">
        <a:xfrm>
          <a:off x="3102429" y="5184321"/>
          <a:ext cx="114300" cy="945696"/>
        </a:xfrm>
        <a:prstGeom prst="rect">
          <a:avLst/>
        </a:prstGeom>
        <a:noFill/>
        <a:ln w="9525">
          <a:noFill/>
          <a:miter lim="800000"/>
          <a:headEnd/>
          <a:tailEnd/>
        </a:ln>
      </xdr:spPr>
    </xdr:sp>
    <xdr:clientData/>
  </xdr:oneCellAnchor>
  <xdr:oneCellAnchor>
    <xdr:from>
      <xdr:col>4</xdr:col>
      <xdr:colOff>0</xdr:colOff>
      <xdr:row>13</xdr:row>
      <xdr:rowOff>0</xdr:rowOff>
    </xdr:from>
    <xdr:ext cx="114300" cy="945696"/>
    <xdr:sp macro="" textlink="">
      <xdr:nvSpPr>
        <xdr:cNvPr id="174" name="Text Box 206">
          <a:extLst>
            <a:ext uri="{FF2B5EF4-FFF2-40B4-BE49-F238E27FC236}">
              <a16:creationId xmlns:a16="http://schemas.microsoft.com/office/drawing/2014/main" id="{00000000-0008-0000-0F00-0000AE000000}"/>
            </a:ext>
          </a:extLst>
        </xdr:cNvPr>
        <xdr:cNvSpPr txBox="1">
          <a:spLocks noChangeArrowheads="1"/>
        </xdr:cNvSpPr>
      </xdr:nvSpPr>
      <xdr:spPr bwMode="auto">
        <a:xfrm>
          <a:off x="3102429" y="5184321"/>
          <a:ext cx="114300" cy="945696"/>
        </a:xfrm>
        <a:prstGeom prst="rect">
          <a:avLst/>
        </a:prstGeom>
        <a:noFill/>
        <a:ln w="9525">
          <a:noFill/>
          <a:miter lim="800000"/>
          <a:headEnd/>
          <a:tailEnd/>
        </a:ln>
      </xdr:spPr>
    </xdr:sp>
    <xdr:clientData/>
  </xdr:oneCellAnchor>
  <xdr:oneCellAnchor>
    <xdr:from>
      <xdr:col>4</xdr:col>
      <xdr:colOff>0</xdr:colOff>
      <xdr:row>13</xdr:row>
      <xdr:rowOff>0</xdr:rowOff>
    </xdr:from>
    <xdr:ext cx="123825" cy="945696"/>
    <xdr:sp macro="" textlink="">
      <xdr:nvSpPr>
        <xdr:cNvPr id="175" name="Text Box 207">
          <a:extLst>
            <a:ext uri="{FF2B5EF4-FFF2-40B4-BE49-F238E27FC236}">
              <a16:creationId xmlns:a16="http://schemas.microsoft.com/office/drawing/2014/main" id="{00000000-0008-0000-0F00-0000AF000000}"/>
            </a:ext>
          </a:extLst>
        </xdr:cNvPr>
        <xdr:cNvSpPr txBox="1">
          <a:spLocks noChangeArrowheads="1"/>
        </xdr:cNvSpPr>
      </xdr:nvSpPr>
      <xdr:spPr bwMode="auto">
        <a:xfrm>
          <a:off x="3102429" y="5184321"/>
          <a:ext cx="123825" cy="945696"/>
        </a:xfrm>
        <a:prstGeom prst="rect">
          <a:avLst/>
        </a:prstGeom>
        <a:noFill/>
        <a:ln w="9525">
          <a:noFill/>
          <a:miter lim="800000"/>
          <a:headEnd/>
          <a:tailEnd/>
        </a:ln>
      </xdr:spPr>
    </xdr:sp>
    <xdr:clientData/>
  </xdr:oneCellAnchor>
  <xdr:oneCellAnchor>
    <xdr:from>
      <xdr:col>4</xdr:col>
      <xdr:colOff>0</xdr:colOff>
      <xdr:row>13</xdr:row>
      <xdr:rowOff>0</xdr:rowOff>
    </xdr:from>
    <xdr:ext cx="123825" cy="945696"/>
    <xdr:sp macro="" textlink="">
      <xdr:nvSpPr>
        <xdr:cNvPr id="176" name="Text Box 208">
          <a:extLst>
            <a:ext uri="{FF2B5EF4-FFF2-40B4-BE49-F238E27FC236}">
              <a16:creationId xmlns:a16="http://schemas.microsoft.com/office/drawing/2014/main" id="{00000000-0008-0000-0F00-0000B0000000}"/>
            </a:ext>
          </a:extLst>
        </xdr:cNvPr>
        <xdr:cNvSpPr txBox="1">
          <a:spLocks noChangeArrowheads="1"/>
        </xdr:cNvSpPr>
      </xdr:nvSpPr>
      <xdr:spPr bwMode="auto">
        <a:xfrm>
          <a:off x="3102429" y="5184321"/>
          <a:ext cx="123825" cy="945696"/>
        </a:xfrm>
        <a:prstGeom prst="rect">
          <a:avLst/>
        </a:prstGeom>
        <a:noFill/>
        <a:ln w="9525">
          <a:noFill/>
          <a:miter lim="800000"/>
          <a:headEnd/>
          <a:tailEnd/>
        </a:ln>
      </xdr:spPr>
    </xdr:sp>
    <xdr:clientData/>
  </xdr:oneCellAnchor>
  <xdr:oneCellAnchor>
    <xdr:from>
      <xdr:col>4</xdr:col>
      <xdr:colOff>0</xdr:colOff>
      <xdr:row>13</xdr:row>
      <xdr:rowOff>0</xdr:rowOff>
    </xdr:from>
    <xdr:ext cx="123825" cy="945696"/>
    <xdr:sp macro="" textlink="">
      <xdr:nvSpPr>
        <xdr:cNvPr id="177" name="Text Box 209">
          <a:extLst>
            <a:ext uri="{FF2B5EF4-FFF2-40B4-BE49-F238E27FC236}">
              <a16:creationId xmlns:a16="http://schemas.microsoft.com/office/drawing/2014/main" id="{00000000-0008-0000-0F00-0000B1000000}"/>
            </a:ext>
          </a:extLst>
        </xdr:cNvPr>
        <xdr:cNvSpPr txBox="1">
          <a:spLocks noChangeArrowheads="1"/>
        </xdr:cNvSpPr>
      </xdr:nvSpPr>
      <xdr:spPr bwMode="auto">
        <a:xfrm>
          <a:off x="3102429" y="5184321"/>
          <a:ext cx="123825" cy="945696"/>
        </a:xfrm>
        <a:prstGeom prst="rect">
          <a:avLst/>
        </a:prstGeom>
        <a:noFill/>
        <a:ln w="9525">
          <a:noFill/>
          <a:miter lim="800000"/>
          <a:headEnd/>
          <a:tailEnd/>
        </a:ln>
      </xdr:spPr>
    </xdr:sp>
    <xdr:clientData/>
  </xdr:oneCellAnchor>
  <xdr:oneCellAnchor>
    <xdr:from>
      <xdr:col>4</xdr:col>
      <xdr:colOff>0</xdr:colOff>
      <xdr:row>13</xdr:row>
      <xdr:rowOff>0</xdr:rowOff>
    </xdr:from>
    <xdr:ext cx="123825" cy="945696"/>
    <xdr:sp macro="" textlink="">
      <xdr:nvSpPr>
        <xdr:cNvPr id="178" name="Text Box 210">
          <a:extLst>
            <a:ext uri="{FF2B5EF4-FFF2-40B4-BE49-F238E27FC236}">
              <a16:creationId xmlns:a16="http://schemas.microsoft.com/office/drawing/2014/main" id="{00000000-0008-0000-0F00-0000B2000000}"/>
            </a:ext>
          </a:extLst>
        </xdr:cNvPr>
        <xdr:cNvSpPr txBox="1">
          <a:spLocks noChangeArrowheads="1"/>
        </xdr:cNvSpPr>
      </xdr:nvSpPr>
      <xdr:spPr bwMode="auto">
        <a:xfrm>
          <a:off x="3102429" y="5184321"/>
          <a:ext cx="123825" cy="9456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179" name="Text Box 211">
          <a:extLst>
            <a:ext uri="{FF2B5EF4-FFF2-40B4-BE49-F238E27FC236}">
              <a16:creationId xmlns:a16="http://schemas.microsoft.com/office/drawing/2014/main" id="{00000000-0008-0000-0F00-0000B3000000}"/>
            </a:ext>
          </a:extLst>
        </xdr:cNvPr>
        <xdr:cNvSpPr txBox="1">
          <a:spLocks noChangeArrowheads="1"/>
        </xdr:cNvSpPr>
      </xdr:nvSpPr>
      <xdr:spPr bwMode="auto">
        <a:xfrm>
          <a:off x="3102429" y="5184321"/>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180" name="Text Box 212">
          <a:extLst>
            <a:ext uri="{FF2B5EF4-FFF2-40B4-BE49-F238E27FC236}">
              <a16:creationId xmlns:a16="http://schemas.microsoft.com/office/drawing/2014/main" id="{00000000-0008-0000-0F00-0000B4000000}"/>
            </a:ext>
          </a:extLst>
        </xdr:cNvPr>
        <xdr:cNvSpPr txBox="1">
          <a:spLocks noChangeArrowheads="1"/>
        </xdr:cNvSpPr>
      </xdr:nvSpPr>
      <xdr:spPr bwMode="auto">
        <a:xfrm>
          <a:off x="3102429" y="5184321"/>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181" name="Text Box 213">
          <a:extLst>
            <a:ext uri="{FF2B5EF4-FFF2-40B4-BE49-F238E27FC236}">
              <a16:creationId xmlns:a16="http://schemas.microsoft.com/office/drawing/2014/main" id="{00000000-0008-0000-0F00-0000B5000000}"/>
            </a:ext>
          </a:extLst>
        </xdr:cNvPr>
        <xdr:cNvSpPr txBox="1">
          <a:spLocks noChangeArrowheads="1"/>
        </xdr:cNvSpPr>
      </xdr:nvSpPr>
      <xdr:spPr bwMode="auto">
        <a:xfrm>
          <a:off x="3102429" y="5184321"/>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182" name="Text Box 214">
          <a:extLst>
            <a:ext uri="{FF2B5EF4-FFF2-40B4-BE49-F238E27FC236}">
              <a16:creationId xmlns:a16="http://schemas.microsoft.com/office/drawing/2014/main" id="{00000000-0008-0000-0F00-0000B6000000}"/>
            </a:ext>
          </a:extLst>
        </xdr:cNvPr>
        <xdr:cNvSpPr txBox="1">
          <a:spLocks noChangeArrowheads="1"/>
        </xdr:cNvSpPr>
      </xdr:nvSpPr>
      <xdr:spPr bwMode="auto">
        <a:xfrm>
          <a:off x="3102429" y="5184321"/>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183" name="Text Box 197">
          <a:extLst>
            <a:ext uri="{FF2B5EF4-FFF2-40B4-BE49-F238E27FC236}">
              <a16:creationId xmlns:a16="http://schemas.microsoft.com/office/drawing/2014/main" id="{00000000-0008-0000-0F00-0000B7000000}"/>
            </a:ext>
          </a:extLst>
        </xdr:cNvPr>
        <xdr:cNvSpPr txBox="1">
          <a:spLocks noChangeArrowheads="1"/>
        </xdr:cNvSpPr>
      </xdr:nvSpPr>
      <xdr:spPr bwMode="auto">
        <a:xfrm>
          <a:off x="5238750" y="5184321"/>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184" name="Text Box 198">
          <a:extLst>
            <a:ext uri="{FF2B5EF4-FFF2-40B4-BE49-F238E27FC236}">
              <a16:creationId xmlns:a16="http://schemas.microsoft.com/office/drawing/2014/main" id="{00000000-0008-0000-0F00-0000B8000000}"/>
            </a:ext>
          </a:extLst>
        </xdr:cNvPr>
        <xdr:cNvSpPr txBox="1">
          <a:spLocks noChangeArrowheads="1"/>
        </xdr:cNvSpPr>
      </xdr:nvSpPr>
      <xdr:spPr bwMode="auto">
        <a:xfrm>
          <a:off x="5238750" y="5184321"/>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185" name="Text Box 199">
          <a:extLst>
            <a:ext uri="{FF2B5EF4-FFF2-40B4-BE49-F238E27FC236}">
              <a16:creationId xmlns:a16="http://schemas.microsoft.com/office/drawing/2014/main" id="{00000000-0008-0000-0F00-0000B9000000}"/>
            </a:ext>
          </a:extLst>
        </xdr:cNvPr>
        <xdr:cNvSpPr txBox="1">
          <a:spLocks noChangeArrowheads="1"/>
        </xdr:cNvSpPr>
      </xdr:nvSpPr>
      <xdr:spPr bwMode="auto">
        <a:xfrm>
          <a:off x="5238750" y="5184321"/>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186" name="Text Box 200">
          <a:extLst>
            <a:ext uri="{FF2B5EF4-FFF2-40B4-BE49-F238E27FC236}">
              <a16:creationId xmlns:a16="http://schemas.microsoft.com/office/drawing/2014/main" id="{00000000-0008-0000-0F00-0000BA000000}"/>
            </a:ext>
          </a:extLst>
        </xdr:cNvPr>
        <xdr:cNvSpPr txBox="1">
          <a:spLocks noChangeArrowheads="1"/>
        </xdr:cNvSpPr>
      </xdr:nvSpPr>
      <xdr:spPr bwMode="auto">
        <a:xfrm>
          <a:off x="5238750" y="5184321"/>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187" name="Text Box 201">
          <a:extLst>
            <a:ext uri="{FF2B5EF4-FFF2-40B4-BE49-F238E27FC236}">
              <a16:creationId xmlns:a16="http://schemas.microsoft.com/office/drawing/2014/main" id="{00000000-0008-0000-0F00-0000BB000000}"/>
            </a:ext>
          </a:extLst>
        </xdr:cNvPr>
        <xdr:cNvSpPr txBox="1">
          <a:spLocks noChangeArrowheads="1"/>
        </xdr:cNvSpPr>
      </xdr:nvSpPr>
      <xdr:spPr bwMode="auto">
        <a:xfrm>
          <a:off x="5238750" y="5184321"/>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188" name="Text Box 202">
          <a:extLst>
            <a:ext uri="{FF2B5EF4-FFF2-40B4-BE49-F238E27FC236}">
              <a16:creationId xmlns:a16="http://schemas.microsoft.com/office/drawing/2014/main" id="{00000000-0008-0000-0F00-0000BC000000}"/>
            </a:ext>
          </a:extLst>
        </xdr:cNvPr>
        <xdr:cNvSpPr txBox="1">
          <a:spLocks noChangeArrowheads="1"/>
        </xdr:cNvSpPr>
      </xdr:nvSpPr>
      <xdr:spPr bwMode="auto">
        <a:xfrm>
          <a:off x="5238750" y="5184321"/>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189" name="Text Box 203">
          <a:extLst>
            <a:ext uri="{FF2B5EF4-FFF2-40B4-BE49-F238E27FC236}">
              <a16:creationId xmlns:a16="http://schemas.microsoft.com/office/drawing/2014/main" id="{00000000-0008-0000-0F00-0000BD000000}"/>
            </a:ext>
          </a:extLst>
        </xdr:cNvPr>
        <xdr:cNvSpPr txBox="1">
          <a:spLocks noChangeArrowheads="1"/>
        </xdr:cNvSpPr>
      </xdr:nvSpPr>
      <xdr:spPr bwMode="auto">
        <a:xfrm>
          <a:off x="5238750" y="5184321"/>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190" name="Text Box 204">
          <a:extLst>
            <a:ext uri="{FF2B5EF4-FFF2-40B4-BE49-F238E27FC236}">
              <a16:creationId xmlns:a16="http://schemas.microsoft.com/office/drawing/2014/main" id="{00000000-0008-0000-0F00-0000BE000000}"/>
            </a:ext>
          </a:extLst>
        </xdr:cNvPr>
        <xdr:cNvSpPr txBox="1">
          <a:spLocks noChangeArrowheads="1"/>
        </xdr:cNvSpPr>
      </xdr:nvSpPr>
      <xdr:spPr bwMode="auto">
        <a:xfrm>
          <a:off x="5238750" y="5184321"/>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14300" cy="945696"/>
    <xdr:sp macro="" textlink="">
      <xdr:nvSpPr>
        <xdr:cNvPr id="191" name="Text Box 205">
          <a:extLst>
            <a:ext uri="{FF2B5EF4-FFF2-40B4-BE49-F238E27FC236}">
              <a16:creationId xmlns:a16="http://schemas.microsoft.com/office/drawing/2014/main" id="{00000000-0008-0000-0F00-0000BF000000}"/>
            </a:ext>
          </a:extLst>
        </xdr:cNvPr>
        <xdr:cNvSpPr txBox="1">
          <a:spLocks noChangeArrowheads="1"/>
        </xdr:cNvSpPr>
      </xdr:nvSpPr>
      <xdr:spPr bwMode="auto">
        <a:xfrm>
          <a:off x="5238750" y="5184321"/>
          <a:ext cx="114300" cy="945696"/>
        </a:xfrm>
        <a:prstGeom prst="rect">
          <a:avLst/>
        </a:prstGeom>
        <a:noFill/>
        <a:ln w="9525">
          <a:noFill/>
          <a:miter lim="800000"/>
          <a:headEnd/>
          <a:tailEnd/>
        </a:ln>
      </xdr:spPr>
    </xdr:sp>
    <xdr:clientData/>
  </xdr:oneCellAnchor>
  <xdr:oneCellAnchor>
    <xdr:from>
      <xdr:col>8</xdr:col>
      <xdr:colOff>0</xdr:colOff>
      <xdr:row>13</xdr:row>
      <xdr:rowOff>0</xdr:rowOff>
    </xdr:from>
    <xdr:ext cx="114300" cy="945696"/>
    <xdr:sp macro="" textlink="">
      <xdr:nvSpPr>
        <xdr:cNvPr id="192" name="Text Box 206">
          <a:extLst>
            <a:ext uri="{FF2B5EF4-FFF2-40B4-BE49-F238E27FC236}">
              <a16:creationId xmlns:a16="http://schemas.microsoft.com/office/drawing/2014/main" id="{00000000-0008-0000-0F00-0000C0000000}"/>
            </a:ext>
          </a:extLst>
        </xdr:cNvPr>
        <xdr:cNvSpPr txBox="1">
          <a:spLocks noChangeArrowheads="1"/>
        </xdr:cNvSpPr>
      </xdr:nvSpPr>
      <xdr:spPr bwMode="auto">
        <a:xfrm>
          <a:off x="5238750" y="5184321"/>
          <a:ext cx="114300" cy="945696"/>
        </a:xfrm>
        <a:prstGeom prst="rect">
          <a:avLst/>
        </a:prstGeom>
        <a:noFill/>
        <a:ln w="9525">
          <a:noFill/>
          <a:miter lim="800000"/>
          <a:headEnd/>
          <a:tailEnd/>
        </a:ln>
      </xdr:spPr>
    </xdr:sp>
    <xdr:clientData/>
  </xdr:oneCellAnchor>
  <xdr:oneCellAnchor>
    <xdr:from>
      <xdr:col>8</xdr:col>
      <xdr:colOff>0</xdr:colOff>
      <xdr:row>13</xdr:row>
      <xdr:rowOff>0</xdr:rowOff>
    </xdr:from>
    <xdr:ext cx="123825" cy="945696"/>
    <xdr:sp macro="" textlink="">
      <xdr:nvSpPr>
        <xdr:cNvPr id="193" name="Text Box 207">
          <a:extLst>
            <a:ext uri="{FF2B5EF4-FFF2-40B4-BE49-F238E27FC236}">
              <a16:creationId xmlns:a16="http://schemas.microsoft.com/office/drawing/2014/main" id="{00000000-0008-0000-0F00-0000C1000000}"/>
            </a:ext>
          </a:extLst>
        </xdr:cNvPr>
        <xdr:cNvSpPr txBox="1">
          <a:spLocks noChangeArrowheads="1"/>
        </xdr:cNvSpPr>
      </xdr:nvSpPr>
      <xdr:spPr bwMode="auto">
        <a:xfrm>
          <a:off x="5238750" y="5184321"/>
          <a:ext cx="123825" cy="945696"/>
        </a:xfrm>
        <a:prstGeom prst="rect">
          <a:avLst/>
        </a:prstGeom>
        <a:noFill/>
        <a:ln w="9525">
          <a:noFill/>
          <a:miter lim="800000"/>
          <a:headEnd/>
          <a:tailEnd/>
        </a:ln>
      </xdr:spPr>
    </xdr:sp>
    <xdr:clientData/>
  </xdr:oneCellAnchor>
  <xdr:oneCellAnchor>
    <xdr:from>
      <xdr:col>8</xdr:col>
      <xdr:colOff>0</xdr:colOff>
      <xdr:row>13</xdr:row>
      <xdr:rowOff>0</xdr:rowOff>
    </xdr:from>
    <xdr:ext cx="123825" cy="945696"/>
    <xdr:sp macro="" textlink="">
      <xdr:nvSpPr>
        <xdr:cNvPr id="194" name="Text Box 208">
          <a:extLst>
            <a:ext uri="{FF2B5EF4-FFF2-40B4-BE49-F238E27FC236}">
              <a16:creationId xmlns:a16="http://schemas.microsoft.com/office/drawing/2014/main" id="{00000000-0008-0000-0F00-0000C2000000}"/>
            </a:ext>
          </a:extLst>
        </xdr:cNvPr>
        <xdr:cNvSpPr txBox="1">
          <a:spLocks noChangeArrowheads="1"/>
        </xdr:cNvSpPr>
      </xdr:nvSpPr>
      <xdr:spPr bwMode="auto">
        <a:xfrm>
          <a:off x="5238750" y="5184321"/>
          <a:ext cx="123825" cy="945696"/>
        </a:xfrm>
        <a:prstGeom prst="rect">
          <a:avLst/>
        </a:prstGeom>
        <a:noFill/>
        <a:ln w="9525">
          <a:noFill/>
          <a:miter lim="800000"/>
          <a:headEnd/>
          <a:tailEnd/>
        </a:ln>
      </xdr:spPr>
    </xdr:sp>
    <xdr:clientData/>
  </xdr:oneCellAnchor>
  <xdr:oneCellAnchor>
    <xdr:from>
      <xdr:col>8</xdr:col>
      <xdr:colOff>0</xdr:colOff>
      <xdr:row>13</xdr:row>
      <xdr:rowOff>0</xdr:rowOff>
    </xdr:from>
    <xdr:ext cx="123825" cy="945696"/>
    <xdr:sp macro="" textlink="">
      <xdr:nvSpPr>
        <xdr:cNvPr id="195" name="Text Box 209">
          <a:extLst>
            <a:ext uri="{FF2B5EF4-FFF2-40B4-BE49-F238E27FC236}">
              <a16:creationId xmlns:a16="http://schemas.microsoft.com/office/drawing/2014/main" id="{00000000-0008-0000-0F00-0000C3000000}"/>
            </a:ext>
          </a:extLst>
        </xdr:cNvPr>
        <xdr:cNvSpPr txBox="1">
          <a:spLocks noChangeArrowheads="1"/>
        </xdr:cNvSpPr>
      </xdr:nvSpPr>
      <xdr:spPr bwMode="auto">
        <a:xfrm>
          <a:off x="5238750" y="5184321"/>
          <a:ext cx="123825" cy="945696"/>
        </a:xfrm>
        <a:prstGeom prst="rect">
          <a:avLst/>
        </a:prstGeom>
        <a:noFill/>
        <a:ln w="9525">
          <a:noFill/>
          <a:miter lim="800000"/>
          <a:headEnd/>
          <a:tailEnd/>
        </a:ln>
      </xdr:spPr>
    </xdr:sp>
    <xdr:clientData/>
  </xdr:oneCellAnchor>
  <xdr:oneCellAnchor>
    <xdr:from>
      <xdr:col>8</xdr:col>
      <xdr:colOff>0</xdr:colOff>
      <xdr:row>13</xdr:row>
      <xdr:rowOff>0</xdr:rowOff>
    </xdr:from>
    <xdr:ext cx="123825" cy="945696"/>
    <xdr:sp macro="" textlink="">
      <xdr:nvSpPr>
        <xdr:cNvPr id="196" name="Text Box 210">
          <a:extLst>
            <a:ext uri="{FF2B5EF4-FFF2-40B4-BE49-F238E27FC236}">
              <a16:creationId xmlns:a16="http://schemas.microsoft.com/office/drawing/2014/main" id="{00000000-0008-0000-0F00-0000C4000000}"/>
            </a:ext>
          </a:extLst>
        </xdr:cNvPr>
        <xdr:cNvSpPr txBox="1">
          <a:spLocks noChangeArrowheads="1"/>
        </xdr:cNvSpPr>
      </xdr:nvSpPr>
      <xdr:spPr bwMode="auto">
        <a:xfrm>
          <a:off x="5238750" y="5184321"/>
          <a:ext cx="123825" cy="9456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197" name="Text Box 211">
          <a:extLst>
            <a:ext uri="{FF2B5EF4-FFF2-40B4-BE49-F238E27FC236}">
              <a16:creationId xmlns:a16="http://schemas.microsoft.com/office/drawing/2014/main" id="{00000000-0008-0000-0F00-0000C5000000}"/>
            </a:ext>
          </a:extLst>
        </xdr:cNvPr>
        <xdr:cNvSpPr txBox="1">
          <a:spLocks noChangeArrowheads="1"/>
        </xdr:cNvSpPr>
      </xdr:nvSpPr>
      <xdr:spPr bwMode="auto">
        <a:xfrm>
          <a:off x="5238750" y="5184321"/>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198" name="Text Box 212">
          <a:extLst>
            <a:ext uri="{FF2B5EF4-FFF2-40B4-BE49-F238E27FC236}">
              <a16:creationId xmlns:a16="http://schemas.microsoft.com/office/drawing/2014/main" id="{00000000-0008-0000-0F00-0000C6000000}"/>
            </a:ext>
          </a:extLst>
        </xdr:cNvPr>
        <xdr:cNvSpPr txBox="1">
          <a:spLocks noChangeArrowheads="1"/>
        </xdr:cNvSpPr>
      </xdr:nvSpPr>
      <xdr:spPr bwMode="auto">
        <a:xfrm>
          <a:off x="5238750" y="5184321"/>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199" name="Text Box 213">
          <a:extLst>
            <a:ext uri="{FF2B5EF4-FFF2-40B4-BE49-F238E27FC236}">
              <a16:creationId xmlns:a16="http://schemas.microsoft.com/office/drawing/2014/main" id="{00000000-0008-0000-0F00-0000C7000000}"/>
            </a:ext>
          </a:extLst>
        </xdr:cNvPr>
        <xdr:cNvSpPr txBox="1">
          <a:spLocks noChangeArrowheads="1"/>
        </xdr:cNvSpPr>
      </xdr:nvSpPr>
      <xdr:spPr bwMode="auto">
        <a:xfrm>
          <a:off x="5238750" y="5184321"/>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200" name="Text Box 214">
          <a:extLst>
            <a:ext uri="{FF2B5EF4-FFF2-40B4-BE49-F238E27FC236}">
              <a16:creationId xmlns:a16="http://schemas.microsoft.com/office/drawing/2014/main" id="{00000000-0008-0000-0F00-0000C8000000}"/>
            </a:ext>
          </a:extLst>
        </xdr:cNvPr>
        <xdr:cNvSpPr txBox="1">
          <a:spLocks noChangeArrowheads="1"/>
        </xdr:cNvSpPr>
      </xdr:nvSpPr>
      <xdr:spPr bwMode="auto">
        <a:xfrm>
          <a:off x="5238750" y="5184321"/>
          <a:ext cx="123825" cy="831396"/>
        </a:xfrm>
        <a:prstGeom prst="rect">
          <a:avLst/>
        </a:prstGeom>
        <a:noFill/>
        <a:ln w="9525">
          <a:noFill/>
          <a:miter lim="800000"/>
          <a:headEnd/>
          <a:tailEnd/>
        </a:ln>
      </xdr:spPr>
    </xdr:sp>
    <xdr:clientData/>
  </xdr:oneCellAnchor>
  <xdr:twoCellAnchor editAs="oneCell">
    <xdr:from>
      <xdr:col>1</xdr:col>
      <xdr:colOff>1676400</xdr:colOff>
      <xdr:row>11</xdr:row>
      <xdr:rowOff>0</xdr:rowOff>
    </xdr:from>
    <xdr:to>
      <xdr:col>6</xdr:col>
      <xdr:colOff>123825</xdr:colOff>
      <xdr:row>12</xdr:row>
      <xdr:rowOff>617613</xdr:rowOff>
    </xdr:to>
    <xdr:sp macro="" textlink="">
      <xdr:nvSpPr>
        <xdr:cNvPr id="201" name="Text Box 134">
          <a:extLst>
            <a:ext uri="{FF2B5EF4-FFF2-40B4-BE49-F238E27FC236}">
              <a16:creationId xmlns:a16="http://schemas.microsoft.com/office/drawing/2014/main" id="{00000000-0008-0000-0F00-0000C9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617613</xdr:rowOff>
    </xdr:to>
    <xdr:sp macro="" textlink="">
      <xdr:nvSpPr>
        <xdr:cNvPr id="202" name="Text Box 135">
          <a:extLst>
            <a:ext uri="{FF2B5EF4-FFF2-40B4-BE49-F238E27FC236}">
              <a16:creationId xmlns:a16="http://schemas.microsoft.com/office/drawing/2014/main" id="{00000000-0008-0000-0F00-0000CA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617613</xdr:rowOff>
    </xdr:to>
    <xdr:sp macro="" textlink="">
      <xdr:nvSpPr>
        <xdr:cNvPr id="203" name="Text Box 142">
          <a:extLst>
            <a:ext uri="{FF2B5EF4-FFF2-40B4-BE49-F238E27FC236}">
              <a16:creationId xmlns:a16="http://schemas.microsoft.com/office/drawing/2014/main" id="{00000000-0008-0000-0F00-0000CB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617613</xdr:rowOff>
    </xdr:to>
    <xdr:sp macro="" textlink="">
      <xdr:nvSpPr>
        <xdr:cNvPr id="204" name="Text Box 143">
          <a:extLst>
            <a:ext uri="{FF2B5EF4-FFF2-40B4-BE49-F238E27FC236}">
              <a16:creationId xmlns:a16="http://schemas.microsoft.com/office/drawing/2014/main" id="{00000000-0008-0000-0F00-0000CC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617613</xdr:rowOff>
    </xdr:to>
    <xdr:sp macro="" textlink="">
      <xdr:nvSpPr>
        <xdr:cNvPr id="205" name="Text Box 144">
          <a:extLst>
            <a:ext uri="{FF2B5EF4-FFF2-40B4-BE49-F238E27FC236}">
              <a16:creationId xmlns:a16="http://schemas.microsoft.com/office/drawing/2014/main" id="{00000000-0008-0000-0F00-0000CD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617613</xdr:rowOff>
    </xdr:to>
    <xdr:sp macro="" textlink="">
      <xdr:nvSpPr>
        <xdr:cNvPr id="206" name="Text Box 145">
          <a:extLst>
            <a:ext uri="{FF2B5EF4-FFF2-40B4-BE49-F238E27FC236}">
              <a16:creationId xmlns:a16="http://schemas.microsoft.com/office/drawing/2014/main" id="{00000000-0008-0000-0F00-0000CE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617613</xdr:rowOff>
    </xdr:to>
    <xdr:sp macro="" textlink="">
      <xdr:nvSpPr>
        <xdr:cNvPr id="207" name="Text Box 146">
          <a:extLst>
            <a:ext uri="{FF2B5EF4-FFF2-40B4-BE49-F238E27FC236}">
              <a16:creationId xmlns:a16="http://schemas.microsoft.com/office/drawing/2014/main" id="{00000000-0008-0000-0F00-0000CF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617613</xdr:rowOff>
    </xdr:to>
    <xdr:sp macro="" textlink="">
      <xdr:nvSpPr>
        <xdr:cNvPr id="208" name="Text Box 147">
          <a:extLst>
            <a:ext uri="{FF2B5EF4-FFF2-40B4-BE49-F238E27FC236}">
              <a16:creationId xmlns:a16="http://schemas.microsoft.com/office/drawing/2014/main" id="{00000000-0008-0000-0F00-0000D0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1</xdr:col>
      <xdr:colOff>1685925</xdr:colOff>
      <xdr:row>11</xdr:row>
      <xdr:rowOff>0</xdr:rowOff>
    </xdr:from>
    <xdr:to>
      <xdr:col>6</xdr:col>
      <xdr:colOff>114300</xdr:colOff>
      <xdr:row>12</xdr:row>
      <xdr:rowOff>706060</xdr:rowOff>
    </xdr:to>
    <xdr:sp macro="" textlink="">
      <xdr:nvSpPr>
        <xdr:cNvPr id="209" name="Text Box 136">
          <a:extLst>
            <a:ext uri="{FF2B5EF4-FFF2-40B4-BE49-F238E27FC236}">
              <a16:creationId xmlns:a16="http://schemas.microsoft.com/office/drawing/2014/main" id="{00000000-0008-0000-0F00-0000D1000000}"/>
            </a:ext>
          </a:extLst>
        </xdr:cNvPr>
        <xdr:cNvSpPr txBox="1">
          <a:spLocks noChangeArrowheads="1"/>
        </xdr:cNvSpPr>
      </xdr:nvSpPr>
      <xdr:spPr bwMode="auto">
        <a:xfrm>
          <a:off x="3095625" y="4924425"/>
          <a:ext cx="114300" cy="919843"/>
        </a:xfrm>
        <a:prstGeom prst="rect">
          <a:avLst/>
        </a:prstGeom>
        <a:noFill/>
        <a:ln w="9525">
          <a:noFill/>
          <a:miter lim="800000"/>
          <a:headEnd/>
          <a:tailEnd/>
        </a:ln>
      </xdr:spPr>
    </xdr:sp>
    <xdr:clientData/>
  </xdr:twoCellAnchor>
  <xdr:twoCellAnchor editAs="oneCell">
    <xdr:from>
      <xdr:col>1</xdr:col>
      <xdr:colOff>1685925</xdr:colOff>
      <xdr:row>11</xdr:row>
      <xdr:rowOff>0</xdr:rowOff>
    </xdr:from>
    <xdr:to>
      <xdr:col>6</xdr:col>
      <xdr:colOff>114300</xdr:colOff>
      <xdr:row>12</xdr:row>
      <xdr:rowOff>706060</xdr:rowOff>
    </xdr:to>
    <xdr:sp macro="" textlink="">
      <xdr:nvSpPr>
        <xdr:cNvPr id="210" name="Text Box 137">
          <a:extLst>
            <a:ext uri="{FF2B5EF4-FFF2-40B4-BE49-F238E27FC236}">
              <a16:creationId xmlns:a16="http://schemas.microsoft.com/office/drawing/2014/main" id="{00000000-0008-0000-0F00-0000D2000000}"/>
            </a:ext>
          </a:extLst>
        </xdr:cNvPr>
        <xdr:cNvSpPr txBox="1">
          <a:spLocks noChangeArrowheads="1"/>
        </xdr:cNvSpPr>
      </xdr:nvSpPr>
      <xdr:spPr bwMode="auto">
        <a:xfrm>
          <a:off x="3095625" y="4924425"/>
          <a:ext cx="114300" cy="919843"/>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706060</xdr:rowOff>
    </xdr:to>
    <xdr:sp macro="" textlink="">
      <xdr:nvSpPr>
        <xdr:cNvPr id="211" name="Text Box 150">
          <a:extLst>
            <a:ext uri="{FF2B5EF4-FFF2-40B4-BE49-F238E27FC236}">
              <a16:creationId xmlns:a16="http://schemas.microsoft.com/office/drawing/2014/main" id="{00000000-0008-0000-0F00-0000D3000000}"/>
            </a:ext>
          </a:extLst>
        </xdr:cNvPr>
        <xdr:cNvSpPr txBox="1">
          <a:spLocks noChangeArrowheads="1"/>
        </xdr:cNvSpPr>
      </xdr:nvSpPr>
      <xdr:spPr bwMode="auto">
        <a:xfrm>
          <a:off x="3095625" y="4924425"/>
          <a:ext cx="123825" cy="919843"/>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706060</xdr:rowOff>
    </xdr:to>
    <xdr:sp macro="" textlink="">
      <xdr:nvSpPr>
        <xdr:cNvPr id="212" name="Text Box 151">
          <a:extLst>
            <a:ext uri="{FF2B5EF4-FFF2-40B4-BE49-F238E27FC236}">
              <a16:creationId xmlns:a16="http://schemas.microsoft.com/office/drawing/2014/main" id="{00000000-0008-0000-0F00-0000D4000000}"/>
            </a:ext>
          </a:extLst>
        </xdr:cNvPr>
        <xdr:cNvSpPr txBox="1">
          <a:spLocks noChangeArrowheads="1"/>
        </xdr:cNvSpPr>
      </xdr:nvSpPr>
      <xdr:spPr bwMode="auto">
        <a:xfrm>
          <a:off x="3095625" y="4924425"/>
          <a:ext cx="123825" cy="919843"/>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706060</xdr:rowOff>
    </xdr:to>
    <xdr:sp macro="" textlink="">
      <xdr:nvSpPr>
        <xdr:cNvPr id="213" name="Text Box 152">
          <a:extLst>
            <a:ext uri="{FF2B5EF4-FFF2-40B4-BE49-F238E27FC236}">
              <a16:creationId xmlns:a16="http://schemas.microsoft.com/office/drawing/2014/main" id="{00000000-0008-0000-0F00-0000D5000000}"/>
            </a:ext>
          </a:extLst>
        </xdr:cNvPr>
        <xdr:cNvSpPr txBox="1">
          <a:spLocks noChangeArrowheads="1"/>
        </xdr:cNvSpPr>
      </xdr:nvSpPr>
      <xdr:spPr bwMode="auto">
        <a:xfrm>
          <a:off x="3095625" y="4924425"/>
          <a:ext cx="123825" cy="919843"/>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706060</xdr:rowOff>
    </xdr:to>
    <xdr:sp macro="" textlink="">
      <xdr:nvSpPr>
        <xdr:cNvPr id="214" name="Text Box 153">
          <a:extLst>
            <a:ext uri="{FF2B5EF4-FFF2-40B4-BE49-F238E27FC236}">
              <a16:creationId xmlns:a16="http://schemas.microsoft.com/office/drawing/2014/main" id="{00000000-0008-0000-0F00-0000D6000000}"/>
            </a:ext>
          </a:extLst>
        </xdr:cNvPr>
        <xdr:cNvSpPr txBox="1">
          <a:spLocks noChangeArrowheads="1"/>
        </xdr:cNvSpPr>
      </xdr:nvSpPr>
      <xdr:spPr bwMode="auto">
        <a:xfrm>
          <a:off x="3095625" y="4924425"/>
          <a:ext cx="123825" cy="919843"/>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617613</xdr:rowOff>
    </xdr:to>
    <xdr:sp macro="" textlink="">
      <xdr:nvSpPr>
        <xdr:cNvPr id="215" name="Text Box 154">
          <a:extLst>
            <a:ext uri="{FF2B5EF4-FFF2-40B4-BE49-F238E27FC236}">
              <a16:creationId xmlns:a16="http://schemas.microsoft.com/office/drawing/2014/main" id="{00000000-0008-0000-0F00-0000D7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617613</xdr:rowOff>
    </xdr:to>
    <xdr:sp macro="" textlink="">
      <xdr:nvSpPr>
        <xdr:cNvPr id="216" name="Text Box 155">
          <a:extLst>
            <a:ext uri="{FF2B5EF4-FFF2-40B4-BE49-F238E27FC236}">
              <a16:creationId xmlns:a16="http://schemas.microsoft.com/office/drawing/2014/main" id="{00000000-0008-0000-0F00-0000D8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1</xdr:col>
      <xdr:colOff>1676400</xdr:colOff>
      <xdr:row>11</xdr:row>
      <xdr:rowOff>0</xdr:rowOff>
    </xdr:from>
    <xdr:to>
      <xdr:col>6</xdr:col>
      <xdr:colOff>123825</xdr:colOff>
      <xdr:row>12</xdr:row>
      <xdr:rowOff>617613</xdr:rowOff>
    </xdr:to>
    <xdr:sp macro="" textlink="">
      <xdr:nvSpPr>
        <xdr:cNvPr id="217" name="Text Box 156">
          <a:extLst>
            <a:ext uri="{FF2B5EF4-FFF2-40B4-BE49-F238E27FC236}">
              <a16:creationId xmlns:a16="http://schemas.microsoft.com/office/drawing/2014/main" id="{00000000-0008-0000-0F00-0000D9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617613</xdr:rowOff>
    </xdr:to>
    <xdr:sp macro="" textlink="">
      <xdr:nvSpPr>
        <xdr:cNvPr id="218" name="Text Box 159">
          <a:extLst>
            <a:ext uri="{FF2B5EF4-FFF2-40B4-BE49-F238E27FC236}">
              <a16:creationId xmlns:a16="http://schemas.microsoft.com/office/drawing/2014/main" id="{00000000-0008-0000-0F00-0000DA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617613</xdr:rowOff>
    </xdr:to>
    <xdr:sp macro="" textlink="">
      <xdr:nvSpPr>
        <xdr:cNvPr id="219" name="Text Box 160">
          <a:extLst>
            <a:ext uri="{FF2B5EF4-FFF2-40B4-BE49-F238E27FC236}">
              <a16:creationId xmlns:a16="http://schemas.microsoft.com/office/drawing/2014/main" id="{00000000-0008-0000-0F00-0000DB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617613</xdr:rowOff>
    </xdr:to>
    <xdr:sp macro="" textlink="">
      <xdr:nvSpPr>
        <xdr:cNvPr id="220" name="Text Box 161">
          <a:extLst>
            <a:ext uri="{FF2B5EF4-FFF2-40B4-BE49-F238E27FC236}">
              <a16:creationId xmlns:a16="http://schemas.microsoft.com/office/drawing/2014/main" id="{00000000-0008-0000-0F00-0000DC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617613</xdr:rowOff>
    </xdr:to>
    <xdr:sp macro="" textlink="">
      <xdr:nvSpPr>
        <xdr:cNvPr id="221" name="Text Box 162">
          <a:extLst>
            <a:ext uri="{FF2B5EF4-FFF2-40B4-BE49-F238E27FC236}">
              <a16:creationId xmlns:a16="http://schemas.microsoft.com/office/drawing/2014/main" id="{00000000-0008-0000-0F00-0000DD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617613</xdr:rowOff>
    </xdr:to>
    <xdr:sp macro="" textlink="">
      <xdr:nvSpPr>
        <xdr:cNvPr id="222" name="Text Box 163">
          <a:extLst>
            <a:ext uri="{FF2B5EF4-FFF2-40B4-BE49-F238E27FC236}">
              <a16:creationId xmlns:a16="http://schemas.microsoft.com/office/drawing/2014/main" id="{00000000-0008-0000-0F00-0000DE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617613</xdr:rowOff>
    </xdr:to>
    <xdr:sp macro="" textlink="">
      <xdr:nvSpPr>
        <xdr:cNvPr id="223" name="Text Box 164">
          <a:extLst>
            <a:ext uri="{FF2B5EF4-FFF2-40B4-BE49-F238E27FC236}">
              <a16:creationId xmlns:a16="http://schemas.microsoft.com/office/drawing/2014/main" id="{00000000-0008-0000-0F00-0000DF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617613</xdr:rowOff>
    </xdr:to>
    <xdr:sp macro="" textlink="">
      <xdr:nvSpPr>
        <xdr:cNvPr id="224" name="Text Box 165">
          <a:extLst>
            <a:ext uri="{FF2B5EF4-FFF2-40B4-BE49-F238E27FC236}">
              <a16:creationId xmlns:a16="http://schemas.microsoft.com/office/drawing/2014/main" id="{00000000-0008-0000-0F00-0000E0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617613</xdr:rowOff>
    </xdr:to>
    <xdr:sp macro="" textlink="">
      <xdr:nvSpPr>
        <xdr:cNvPr id="225" name="Text Box 166">
          <a:extLst>
            <a:ext uri="{FF2B5EF4-FFF2-40B4-BE49-F238E27FC236}">
              <a16:creationId xmlns:a16="http://schemas.microsoft.com/office/drawing/2014/main" id="{00000000-0008-0000-0F00-0000E1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114300</xdr:colOff>
      <xdr:row>12</xdr:row>
      <xdr:rowOff>706060</xdr:rowOff>
    </xdr:to>
    <xdr:sp macro="" textlink="">
      <xdr:nvSpPr>
        <xdr:cNvPr id="226" name="Text Box 167">
          <a:extLst>
            <a:ext uri="{FF2B5EF4-FFF2-40B4-BE49-F238E27FC236}">
              <a16:creationId xmlns:a16="http://schemas.microsoft.com/office/drawing/2014/main" id="{00000000-0008-0000-0F00-0000E2000000}"/>
            </a:ext>
          </a:extLst>
        </xdr:cNvPr>
        <xdr:cNvSpPr txBox="1">
          <a:spLocks noChangeArrowheads="1"/>
        </xdr:cNvSpPr>
      </xdr:nvSpPr>
      <xdr:spPr bwMode="auto">
        <a:xfrm>
          <a:off x="3095625" y="4924425"/>
          <a:ext cx="114300" cy="919843"/>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114300</xdr:colOff>
      <xdr:row>12</xdr:row>
      <xdr:rowOff>706060</xdr:rowOff>
    </xdr:to>
    <xdr:sp macro="" textlink="">
      <xdr:nvSpPr>
        <xdr:cNvPr id="227" name="Text Box 168">
          <a:extLst>
            <a:ext uri="{FF2B5EF4-FFF2-40B4-BE49-F238E27FC236}">
              <a16:creationId xmlns:a16="http://schemas.microsoft.com/office/drawing/2014/main" id="{00000000-0008-0000-0F00-0000E3000000}"/>
            </a:ext>
          </a:extLst>
        </xdr:cNvPr>
        <xdr:cNvSpPr txBox="1">
          <a:spLocks noChangeArrowheads="1"/>
        </xdr:cNvSpPr>
      </xdr:nvSpPr>
      <xdr:spPr bwMode="auto">
        <a:xfrm>
          <a:off x="3095625" y="4924425"/>
          <a:ext cx="114300" cy="919843"/>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706060</xdr:rowOff>
    </xdr:to>
    <xdr:sp macro="" textlink="">
      <xdr:nvSpPr>
        <xdr:cNvPr id="228" name="Text Box 169">
          <a:extLst>
            <a:ext uri="{FF2B5EF4-FFF2-40B4-BE49-F238E27FC236}">
              <a16:creationId xmlns:a16="http://schemas.microsoft.com/office/drawing/2014/main" id="{00000000-0008-0000-0F00-0000E4000000}"/>
            </a:ext>
          </a:extLst>
        </xdr:cNvPr>
        <xdr:cNvSpPr txBox="1">
          <a:spLocks noChangeArrowheads="1"/>
        </xdr:cNvSpPr>
      </xdr:nvSpPr>
      <xdr:spPr bwMode="auto">
        <a:xfrm>
          <a:off x="3095625" y="4924425"/>
          <a:ext cx="123825" cy="919843"/>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706060</xdr:rowOff>
    </xdr:to>
    <xdr:sp macro="" textlink="">
      <xdr:nvSpPr>
        <xdr:cNvPr id="229" name="Text Box 170">
          <a:extLst>
            <a:ext uri="{FF2B5EF4-FFF2-40B4-BE49-F238E27FC236}">
              <a16:creationId xmlns:a16="http://schemas.microsoft.com/office/drawing/2014/main" id="{00000000-0008-0000-0F00-0000E5000000}"/>
            </a:ext>
          </a:extLst>
        </xdr:cNvPr>
        <xdr:cNvSpPr txBox="1">
          <a:spLocks noChangeArrowheads="1"/>
        </xdr:cNvSpPr>
      </xdr:nvSpPr>
      <xdr:spPr bwMode="auto">
        <a:xfrm>
          <a:off x="3095625" y="4924425"/>
          <a:ext cx="123825" cy="919843"/>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706060</xdr:rowOff>
    </xdr:to>
    <xdr:sp macro="" textlink="">
      <xdr:nvSpPr>
        <xdr:cNvPr id="230" name="Text Box 171">
          <a:extLst>
            <a:ext uri="{FF2B5EF4-FFF2-40B4-BE49-F238E27FC236}">
              <a16:creationId xmlns:a16="http://schemas.microsoft.com/office/drawing/2014/main" id="{00000000-0008-0000-0F00-0000E6000000}"/>
            </a:ext>
          </a:extLst>
        </xdr:cNvPr>
        <xdr:cNvSpPr txBox="1">
          <a:spLocks noChangeArrowheads="1"/>
        </xdr:cNvSpPr>
      </xdr:nvSpPr>
      <xdr:spPr bwMode="auto">
        <a:xfrm>
          <a:off x="3095625" y="4924425"/>
          <a:ext cx="123825" cy="919843"/>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706060</xdr:rowOff>
    </xdr:to>
    <xdr:sp macro="" textlink="">
      <xdr:nvSpPr>
        <xdr:cNvPr id="231" name="Text Box 172">
          <a:extLst>
            <a:ext uri="{FF2B5EF4-FFF2-40B4-BE49-F238E27FC236}">
              <a16:creationId xmlns:a16="http://schemas.microsoft.com/office/drawing/2014/main" id="{00000000-0008-0000-0F00-0000E7000000}"/>
            </a:ext>
          </a:extLst>
        </xdr:cNvPr>
        <xdr:cNvSpPr txBox="1">
          <a:spLocks noChangeArrowheads="1"/>
        </xdr:cNvSpPr>
      </xdr:nvSpPr>
      <xdr:spPr bwMode="auto">
        <a:xfrm>
          <a:off x="3095625" y="4924425"/>
          <a:ext cx="123825" cy="919843"/>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617613</xdr:rowOff>
    </xdr:to>
    <xdr:sp macro="" textlink="">
      <xdr:nvSpPr>
        <xdr:cNvPr id="232" name="Text Box 173">
          <a:extLst>
            <a:ext uri="{FF2B5EF4-FFF2-40B4-BE49-F238E27FC236}">
              <a16:creationId xmlns:a16="http://schemas.microsoft.com/office/drawing/2014/main" id="{00000000-0008-0000-0F00-0000E8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617613</xdr:rowOff>
    </xdr:to>
    <xdr:sp macro="" textlink="">
      <xdr:nvSpPr>
        <xdr:cNvPr id="233" name="Text Box 174">
          <a:extLst>
            <a:ext uri="{FF2B5EF4-FFF2-40B4-BE49-F238E27FC236}">
              <a16:creationId xmlns:a16="http://schemas.microsoft.com/office/drawing/2014/main" id="{00000000-0008-0000-0F00-0000E9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617613</xdr:rowOff>
    </xdr:to>
    <xdr:sp macro="" textlink="">
      <xdr:nvSpPr>
        <xdr:cNvPr id="234" name="Text Box 175">
          <a:extLst>
            <a:ext uri="{FF2B5EF4-FFF2-40B4-BE49-F238E27FC236}">
              <a16:creationId xmlns:a16="http://schemas.microsoft.com/office/drawing/2014/main" id="{00000000-0008-0000-0F00-0000EA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5</xdr:col>
      <xdr:colOff>0</xdr:colOff>
      <xdr:row>11</xdr:row>
      <xdr:rowOff>0</xdr:rowOff>
    </xdr:from>
    <xdr:to>
      <xdr:col>6</xdr:col>
      <xdr:colOff>123825</xdr:colOff>
      <xdr:row>12</xdr:row>
      <xdr:rowOff>617613</xdr:rowOff>
    </xdr:to>
    <xdr:sp macro="" textlink="">
      <xdr:nvSpPr>
        <xdr:cNvPr id="235" name="Text Box 176">
          <a:extLst>
            <a:ext uri="{FF2B5EF4-FFF2-40B4-BE49-F238E27FC236}">
              <a16:creationId xmlns:a16="http://schemas.microsoft.com/office/drawing/2014/main" id="{00000000-0008-0000-0F00-0000EB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617613</xdr:rowOff>
    </xdr:to>
    <xdr:sp macro="" textlink="">
      <xdr:nvSpPr>
        <xdr:cNvPr id="236" name="Text Box 178">
          <a:extLst>
            <a:ext uri="{FF2B5EF4-FFF2-40B4-BE49-F238E27FC236}">
              <a16:creationId xmlns:a16="http://schemas.microsoft.com/office/drawing/2014/main" id="{00000000-0008-0000-0F00-0000EC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617613</xdr:rowOff>
    </xdr:to>
    <xdr:sp macro="" textlink="">
      <xdr:nvSpPr>
        <xdr:cNvPr id="237" name="Text Box 179">
          <a:extLst>
            <a:ext uri="{FF2B5EF4-FFF2-40B4-BE49-F238E27FC236}">
              <a16:creationId xmlns:a16="http://schemas.microsoft.com/office/drawing/2014/main" id="{00000000-0008-0000-0F00-0000ED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617613</xdr:rowOff>
    </xdr:to>
    <xdr:sp macro="" textlink="">
      <xdr:nvSpPr>
        <xdr:cNvPr id="238" name="Text Box 180">
          <a:extLst>
            <a:ext uri="{FF2B5EF4-FFF2-40B4-BE49-F238E27FC236}">
              <a16:creationId xmlns:a16="http://schemas.microsoft.com/office/drawing/2014/main" id="{00000000-0008-0000-0F00-0000EE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617613</xdr:rowOff>
    </xdr:to>
    <xdr:sp macro="" textlink="">
      <xdr:nvSpPr>
        <xdr:cNvPr id="239" name="Text Box 181">
          <a:extLst>
            <a:ext uri="{FF2B5EF4-FFF2-40B4-BE49-F238E27FC236}">
              <a16:creationId xmlns:a16="http://schemas.microsoft.com/office/drawing/2014/main" id="{00000000-0008-0000-0F00-0000EF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617613</xdr:rowOff>
    </xdr:to>
    <xdr:sp macro="" textlink="">
      <xdr:nvSpPr>
        <xdr:cNvPr id="240" name="Text Box 182">
          <a:extLst>
            <a:ext uri="{FF2B5EF4-FFF2-40B4-BE49-F238E27FC236}">
              <a16:creationId xmlns:a16="http://schemas.microsoft.com/office/drawing/2014/main" id="{00000000-0008-0000-0F00-0000F0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617613</xdr:rowOff>
    </xdr:to>
    <xdr:sp macro="" textlink="">
      <xdr:nvSpPr>
        <xdr:cNvPr id="241" name="Text Box 183">
          <a:extLst>
            <a:ext uri="{FF2B5EF4-FFF2-40B4-BE49-F238E27FC236}">
              <a16:creationId xmlns:a16="http://schemas.microsoft.com/office/drawing/2014/main" id="{00000000-0008-0000-0F00-0000F1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617613</xdr:rowOff>
    </xdr:to>
    <xdr:sp macro="" textlink="">
      <xdr:nvSpPr>
        <xdr:cNvPr id="242" name="Text Box 184">
          <a:extLst>
            <a:ext uri="{FF2B5EF4-FFF2-40B4-BE49-F238E27FC236}">
              <a16:creationId xmlns:a16="http://schemas.microsoft.com/office/drawing/2014/main" id="{00000000-0008-0000-0F00-0000F2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617613</xdr:rowOff>
    </xdr:to>
    <xdr:sp macro="" textlink="">
      <xdr:nvSpPr>
        <xdr:cNvPr id="243" name="Text Box 185">
          <a:extLst>
            <a:ext uri="{FF2B5EF4-FFF2-40B4-BE49-F238E27FC236}">
              <a16:creationId xmlns:a16="http://schemas.microsoft.com/office/drawing/2014/main" id="{00000000-0008-0000-0F00-0000F3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114300</xdr:colOff>
      <xdr:row>12</xdr:row>
      <xdr:rowOff>706060</xdr:rowOff>
    </xdr:to>
    <xdr:sp macro="" textlink="">
      <xdr:nvSpPr>
        <xdr:cNvPr id="244" name="Text Box 186">
          <a:extLst>
            <a:ext uri="{FF2B5EF4-FFF2-40B4-BE49-F238E27FC236}">
              <a16:creationId xmlns:a16="http://schemas.microsoft.com/office/drawing/2014/main" id="{00000000-0008-0000-0F00-0000F4000000}"/>
            </a:ext>
          </a:extLst>
        </xdr:cNvPr>
        <xdr:cNvSpPr txBox="1">
          <a:spLocks noChangeArrowheads="1"/>
        </xdr:cNvSpPr>
      </xdr:nvSpPr>
      <xdr:spPr bwMode="auto">
        <a:xfrm>
          <a:off x="3095625" y="4924425"/>
          <a:ext cx="114300" cy="919843"/>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114300</xdr:colOff>
      <xdr:row>12</xdr:row>
      <xdr:rowOff>706060</xdr:rowOff>
    </xdr:to>
    <xdr:sp macro="" textlink="">
      <xdr:nvSpPr>
        <xdr:cNvPr id="245" name="Text Box 187">
          <a:extLst>
            <a:ext uri="{FF2B5EF4-FFF2-40B4-BE49-F238E27FC236}">
              <a16:creationId xmlns:a16="http://schemas.microsoft.com/office/drawing/2014/main" id="{00000000-0008-0000-0F00-0000F5000000}"/>
            </a:ext>
          </a:extLst>
        </xdr:cNvPr>
        <xdr:cNvSpPr txBox="1">
          <a:spLocks noChangeArrowheads="1"/>
        </xdr:cNvSpPr>
      </xdr:nvSpPr>
      <xdr:spPr bwMode="auto">
        <a:xfrm>
          <a:off x="3095625" y="4924425"/>
          <a:ext cx="114300" cy="919843"/>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706060</xdr:rowOff>
    </xdr:to>
    <xdr:sp macro="" textlink="">
      <xdr:nvSpPr>
        <xdr:cNvPr id="246" name="Text Box 188">
          <a:extLst>
            <a:ext uri="{FF2B5EF4-FFF2-40B4-BE49-F238E27FC236}">
              <a16:creationId xmlns:a16="http://schemas.microsoft.com/office/drawing/2014/main" id="{00000000-0008-0000-0F00-0000F6000000}"/>
            </a:ext>
          </a:extLst>
        </xdr:cNvPr>
        <xdr:cNvSpPr txBox="1">
          <a:spLocks noChangeArrowheads="1"/>
        </xdr:cNvSpPr>
      </xdr:nvSpPr>
      <xdr:spPr bwMode="auto">
        <a:xfrm>
          <a:off x="3095625" y="4924425"/>
          <a:ext cx="123825" cy="919843"/>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706060</xdr:rowOff>
    </xdr:to>
    <xdr:sp macro="" textlink="">
      <xdr:nvSpPr>
        <xdr:cNvPr id="247" name="Text Box 189">
          <a:extLst>
            <a:ext uri="{FF2B5EF4-FFF2-40B4-BE49-F238E27FC236}">
              <a16:creationId xmlns:a16="http://schemas.microsoft.com/office/drawing/2014/main" id="{00000000-0008-0000-0F00-0000F7000000}"/>
            </a:ext>
          </a:extLst>
        </xdr:cNvPr>
        <xdr:cNvSpPr txBox="1">
          <a:spLocks noChangeArrowheads="1"/>
        </xdr:cNvSpPr>
      </xdr:nvSpPr>
      <xdr:spPr bwMode="auto">
        <a:xfrm>
          <a:off x="3095625" y="4924425"/>
          <a:ext cx="123825" cy="919843"/>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706060</xdr:rowOff>
    </xdr:to>
    <xdr:sp macro="" textlink="">
      <xdr:nvSpPr>
        <xdr:cNvPr id="248" name="Text Box 190">
          <a:extLst>
            <a:ext uri="{FF2B5EF4-FFF2-40B4-BE49-F238E27FC236}">
              <a16:creationId xmlns:a16="http://schemas.microsoft.com/office/drawing/2014/main" id="{00000000-0008-0000-0F00-0000F8000000}"/>
            </a:ext>
          </a:extLst>
        </xdr:cNvPr>
        <xdr:cNvSpPr txBox="1">
          <a:spLocks noChangeArrowheads="1"/>
        </xdr:cNvSpPr>
      </xdr:nvSpPr>
      <xdr:spPr bwMode="auto">
        <a:xfrm>
          <a:off x="3095625" y="4924425"/>
          <a:ext cx="123825" cy="919843"/>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706060</xdr:rowOff>
    </xdr:to>
    <xdr:sp macro="" textlink="">
      <xdr:nvSpPr>
        <xdr:cNvPr id="249" name="Text Box 191">
          <a:extLst>
            <a:ext uri="{FF2B5EF4-FFF2-40B4-BE49-F238E27FC236}">
              <a16:creationId xmlns:a16="http://schemas.microsoft.com/office/drawing/2014/main" id="{00000000-0008-0000-0F00-0000F9000000}"/>
            </a:ext>
          </a:extLst>
        </xdr:cNvPr>
        <xdr:cNvSpPr txBox="1">
          <a:spLocks noChangeArrowheads="1"/>
        </xdr:cNvSpPr>
      </xdr:nvSpPr>
      <xdr:spPr bwMode="auto">
        <a:xfrm>
          <a:off x="3095625" y="4924425"/>
          <a:ext cx="123825" cy="919843"/>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617613</xdr:rowOff>
    </xdr:to>
    <xdr:sp macro="" textlink="">
      <xdr:nvSpPr>
        <xdr:cNvPr id="250" name="Text Box 192">
          <a:extLst>
            <a:ext uri="{FF2B5EF4-FFF2-40B4-BE49-F238E27FC236}">
              <a16:creationId xmlns:a16="http://schemas.microsoft.com/office/drawing/2014/main" id="{00000000-0008-0000-0F00-0000FA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617613</xdr:rowOff>
    </xdr:to>
    <xdr:sp macro="" textlink="">
      <xdr:nvSpPr>
        <xdr:cNvPr id="251" name="Text Box 193">
          <a:extLst>
            <a:ext uri="{FF2B5EF4-FFF2-40B4-BE49-F238E27FC236}">
              <a16:creationId xmlns:a16="http://schemas.microsoft.com/office/drawing/2014/main" id="{00000000-0008-0000-0F00-0000FB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617613</xdr:rowOff>
    </xdr:to>
    <xdr:sp macro="" textlink="">
      <xdr:nvSpPr>
        <xdr:cNvPr id="252" name="Text Box 194">
          <a:extLst>
            <a:ext uri="{FF2B5EF4-FFF2-40B4-BE49-F238E27FC236}">
              <a16:creationId xmlns:a16="http://schemas.microsoft.com/office/drawing/2014/main" id="{00000000-0008-0000-0F00-0000FC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617613</xdr:rowOff>
    </xdr:to>
    <xdr:sp macro="" textlink="">
      <xdr:nvSpPr>
        <xdr:cNvPr id="253" name="Text Box 195">
          <a:extLst>
            <a:ext uri="{FF2B5EF4-FFF2-40B4-BE49-F238E27FC236}">
              <a16:creationId xmlns:a16="http://schemas.microsoft.com/office/drawing/2014/main" id="{00000000-0008-0000-0F00-0000FD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6</xdr:col>
      <xdr:colOff>123825</xdr:colOff>
      <xdr:row>12</xdr:row>
      <xdr:rowOff>617613</xdr:rowOff>
    </xdr:to>
    <xdr:sp macro="" textlink="">
      <xdr:nvSpPr>
        <xdr:cNvPr id="254" name="Text Box 196">
          <a:extLst>
            <a:ext uri="{FF2B5EF4-FFF2-40B4-BE49-F238E27FC236}">
              <a16:creationId xmlns:a16="http://schemas.microsoft.com/office/drawing/2014/main" id="{00000000-0008-0000-0F00-0000FE000000}"/>
            </a:ext>
          </a:extLst>
        </xdr:cNvPr>
        <xdr:cNvSpPr txBox="1">
          <a:spLocks noChangeArrowheads="1"/>
        </xdr:cNvSpPr>
      </xdr:nvSpPr>
      <xdr:spPr bwMode="auto">
        <a:xfrm>
          <a:off x="3095625" y="4924425"/>
          <a:ext cx="123825" cy="831396"/>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214993</xdr:rowOff>
    </xdr:to>
    <xdr:sp macro="" textlink="">
      <xdr:nvSpPr>
        <xdr:cNvPr id="255" name="Text Box 197">
          <a:extLst>
            <a:ext uri="{FF2B5EF4-FFF2-40B4-BE49-F238E27FC236}">
              <a16:creationId xmlns:a16="http://schemas.microsoft.com/office/drawing/2014/main" id="{00000000-0008-0000-0F00-0000FF000000}"/>
            </a:ext>
          </a:extLst>
        </xdr:cNvPr>
        <xdr:cNvSpPr txBox="1">
          <a:spLocks noChangeArrowheads="1"/>
        </xdr:cNvSpPr>
      </xdr:nvSpPr>
      <xdr:spPr bwMode="auto">
        <a:xfrm>
          <a:off x="3095625" y="5343525"/>
          <a:ext cx="123825" cy="8245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214993</xdr:rowOff>
    </xdr:to>
    <xdr:sp macro="" textlink="">
      <xdr:nvSpPr>
        <xdr:cNvPr id="256" name="Text Box 198">
          <a:extLst>
            <a:ext uri="{FF2B5EF4-FFF2-40B4-BE49-F238E27FC236}">
              <a16:creationId xmlns:a16="http://schemas.microsoft.com/office/drawing/2014/main" id="{00000000-0008-0000-0F00-000000010000}"/>
            </a:ext>
          </a:extLst>
        </xdr:cNvPr>
        <xdr:cNvSpPr txBox="1">
          <a:spLocks noChangeArrowheads="1"/>
        </xdr:cNvSpPr>
      </xdr:nvSpPr>
      <xdr:spPr bwMode="auto">
        <a:xfrm>
          <a:off x="3095625" y="5343525"/>
          <a:ext cx="123825" cy="8245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214993</xdr:rowOff>
    </xdr:to>
    <xdr:sp macro="" textlink="">
      <xdr:nvSpPr>
        <xdr:cNvPr id="257" name="Text Box 199">
          <a:extLst>
            <a:ext uri="{FF2B5EF4-FFF2-40B4-BE49-F238E27FC236}">
              <a16:creationId xmlns:a16="http://schemas.microsoft.com/office/drawing/2014/main" id="{00000000-0008-0000-0F00-000001010000}"/>
            </a:ext>
          </a:extLst>
        </xdr:cNvPr>
        <xdr:cNvSpPr txBox="1">
          <a:spLocks noChangeArrowheads="1"/>
        </xdr:cNvSpPr>
      </xdr:nvSpPr>
      <xdr:spPr bwMode="auto">
        <a:xfrm>
          <a:off x="3095625" y="5343525"/>
          <a:ext cx="123825" cy="8245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214993</xdr:rowOff>
    </xdr:to>
    <xdr:sp macro="" textlink="">
      <xdr:nvSpPr>
        <xdr:cNvPr id="258" name="Text Box 200">
          <a:extLst>
            <a:ext uri="{FF2B5EF4-FFF2-40B4-BE49-F238E27FC236}">
              <a16:creationId xmlns:a16="http://schemas.microsoft.com/office/drawing/2014/main" id="{00000000-0008-0000-0F00-000002010000}"/>
            </a:ext>
          </a:extLst>
        </xdr:cNvPr>
        <xdr:cNvSpPr txBox="1">
          <a:spLocks noChangeArrowheads="1"/>
        </xdr:cNvSpPr>
      </xdr:nvSpPr>
      <xdr:spPr bwMode="auto">
        <a:xfrm>
          <a:off x="3095625" y="5343525"/>
          <a:ext cx="123825" cy="8245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214993</xdr:rowOff>
    </xdr:to>
    <xdr:sp macro="" textlink="">
      <xdr:nvSpPr>
        <xdr:cNvPr id="259" name="Text Box 201">
          <a:extLst>
            <a:ext uri="{FF2B5EF4-FFF2-40B4-BE49-F238E27FC236}">
              <a16:creationId xmlns:a16="http://schemas.microsoft.com/office/drawing/2014/main" id="{00000000-0008-0000-0F00-000003010000}"/>
            </a:ext>
          </a:extLst>
        </xdr:cNvPr>
        <xdr:cNvSpPr txBox="1">
          <a:spLocks noChangeArrowheads="1"/>
        </xdr:cNvSpPr>
      </xdr:nvSpPr>
      <xdr:spPr bwMode="auto">
        <a:xfrm>
          <a:off x="3095625" y="5343525"/>
          <a:ext cx="123825" cy="8245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214993</xdr:rowOff>
    </xdr:to>
    <xdr:sp macro="" textlink="">
      <xdr:nvSpPr>
        <xdr:cNvPr id="260" name="Text Box 202">
          <a:extLst>
            <a:ext uri="{FF2B5EF4-FFF2-40B4-BE49-F238E27FC236}">
              <a16:creationId xmlns:a16="http://schemas.microsoft.com/office/drawing/2014/main" id="{00000000-0008-0000-0F00-000004010000}"/>
            </a:ext>
          </a:extLst>
        </xdr:cNvPr>
        <xdr:cNvSpPr txBox="1">
          <a:spLocks noChangeArrowheads="1"/>
        </xdr:cNvSpPr>
      </xdr:nvSpPr>
      <xdr:spPr bwMode="auto">
        <a:xfrm>
          <a:off x="3095625" y="5343525"/>
          <a:ext cx="123825" cy="8245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214993</xdr:rowOff>
    </xdr:to>
    <xdr:sp macro="" textlink="">
      <xdr:nvSpPr>
        <xdr:cNvPr id="261" name="Text Box 203">
          <a:extLst>
            <a:ext uri="{FF2B5EF4-FFF2-40B4-BE49-F238E27FC236}">
              <a16:creationId xmlns:a16="http://schemas.microsoft.com/office/drawing/2014/main" id="{00000000-0008-0000-0F00-000005010000}"/>
            </a:ext>
          </a:extLst>
        </xdr:cNvPr>
        <xdr:cNvSpPr txBox="1">
          <a:spLocks noChangeArrowheads="1"/>
        </xdr:cNvSpPr>
      </xdr:nvSpPr>
      <xdr:spPr bwMode="auto">
        <a:xfrm>
          <a:off x="3095625" y="5343525"/>
          <a:ext cx="123825" cy="8245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214993</xdr:rowOff>
    </xdr:to>
    <xdr:sp macro="" textlink="">
      <xdr:nvSpPr>
        <xdr:cNvPr id="262" name="Text Box 204">
          <a:extLst>
            <a:ext uri="{FF2B5EF4-FFF2-40B4-BE49-F238E27FC236}">
              <a16:creationId xmlns:a16="http://schemas.microsoft.com/office/drawing/2014/main" id="{00000000-0008-0000-0F00-000006010000}"/>
            </a:ext>
          </a:extLst>
        </xdr:cNvPr>
        <xdr:cNvSpPr txBox="1">
          <a:spLocks noChangeArrowheads="1"/>
        </xdr:cNvSpPr>
      </xdr:nvSpPr>
      <xdr:spPr bwMode="auto">
        <a:xfrm>
          <a:off x="3095625" y="5343525"/>
          <a:ext cx="123825" cy="8245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114300</xdr:colOff>
      <xdr:row>13</xdr:row>
      <xdr:rowOff>329293</xdr:rowOff>
    </xdr:to>
    <xdr:sp macro="" textlink="">
      <xdr:nvSpPr>
        <xdr:cNvPr id="263" name="Text Box 205">
          <a:extLst>
            <a:ext uri="{FF2B5EF4-FFF2-40B4-BE49-F238E27FC236}">
              <a16:creationId xmlns:a16="http://schemas.microsoft.com/office/drawing/2014/main" id="{00000000-0008-0000-0F00-000007010000}"/>
            </a:ext>
          </a:extLst>
        </xdr:cNvPr>
        <xdr:cNvSpPr txBox="1">
          <a:spLocks noChangeArrowheads="1"/>
        </xdr:cNvSpPr>
      </xdr:nvSpPr>
      <xdr:spPr bwMode="auto">
        <a:xfrm>
          <a:off x="3095625" y="5343525"/>
          <a:ext cx="114300" cy="9388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114300</xdr:colOff>
      <xdr:row>13</xdr:row>
      <xdr:rowOff>329293</xdr:rowOff>
    </xdr:to>
    <xdr:sp macro="" textlink="">
      <xdr:nvSpPr>
        <xdr:cNvPr id="264" name="Text Box 206">
          <a:extLst>
            <a:ext uri="{FF2B5EF4-FFF2-40B4-BE49-F238E27FC236}">
              <a16:creationId xmlns:a16="http://schemas.microsoft.com/office/drawing/2014/main" id="{00000000-0008-0000-0F00-000008010000}"/>
            </a:ext>
          </a:extLst>
        </xdr:cNvPr>
        <xdr:cNvSpPr txBox="1">
          <a:spLocks noChangeArrowheads="1"/>
        </xdr:cNvSpPr>
      </xdr:nvSpPr>
      <xdr:spPr bwMode="auto">
        <a:xfrm>
          <a:off x="3095625" y="5343525"/>
          <a:ext cx="114300" cy="9388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329293</xdr:rowOff>
    </xdr:to>
    <xdr:sp macro="" textlink="">
      <xdr:nvSpPr>
        <xdr:cNvPr id="265" name="Text Box 207">
          <a:extLst>
            <a:ext uri="{FF2B5EF4-FFF2-40B4-BE49-F238E27FC236}">
              <a16:creationId xmlns:a16="http://schemas.microsoft.com/office/drawing/2014/main" id="{00000000-0008-0000-0F00-000009010000}"/>
            </a:ext>
          </a:extLst>
        </xdr:cNvPr>
        <xdr:cNvSpPr txBox="1">
          <a:spLocks noChangeArrowheads="1"/>
        </xdr:cNvSpPr>
      </xdr:nvSpPr>
      <xdr:spPr bwMode="auto">
        <a:xfrm>
          <a:off x="3095625" y="5343525"/>
          <a:ext cx="123825" cy="9388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329293</xdr:rowOff>
    </xdr:to>
    <xdr:sp macro="" textlink="">
      <xdr:nvSpPr>
        <xdr:cNvPr id="266" name="Text Box 208">
          <a:extLst>
            <a:ext uri="{FF2B5EF4-FFF2-40B4-BE49-F238E27FC236}">
              <a16:creationId xmlns:a16="http://schemas.microsoft.com/office/drawing/2014/main" id="{00000000-0008-0000-0F00-00000A010000}"/>
            </a:ext>
          </a:extLst>
        </xdr:cNvPr>
        <xdr:cNvSpPr txBox="1">
          <a:spLocks noChangeArrowheads="1"/>
        </xdr:cNvSpPr>
      </xdr:nvSpPr>
      <xdr:spPr bwMode="auto">
        <a:xfrm>
          <a:off x="3095625" y="5343525"/>
          <a:ext cx="123825" cy="9388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329293</xdr:rowOff>
    </xdr:to>
    <xdr:sp macro="" textlink="">
      <xdr:nvSpPr>
        <xdr:cNvPr id="267" name="Text Box 209">
          <a:extLst>
            <a:ext uri="{FF2B5EF4-FFF2-40B4-BE49-F238E27FC236}">
              <a16:creationId xmlns:a16="http://schemas.microsoft.com/office/drawing/2014/main" id="{00000000-0008-0000-0F00-00000B010000}"/>
            </a:ext>
          </a:extLst>
        </xdr:cNvPr>
        <xdr:cNvSpPr txBox="1">
          <a:spLocks noChangeArrowheads="1"/>
        </xdr:cNvSpPr>
      </xdr:nvSpPr>
      <xdr:spPr bwMode="auto">
        <a:xfrm>
          <a:off x="3095625" y="5343525"/>
          <a:ext cx="123825" cy="9388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329293</xdr:rowOff>
    </xdr:to>
    <xdr:sp macro="" textlink="">
      <xdr:nvSpPr>
        <xdr:cNvPr id="268" name="Text Box 210">
          <a:extLst>
            <a:ext uri="{FF2B5EF4-FFF2-40B4-BE49-F238E27FC236}">
              <a16:creationId xmlns:a16="http://schemas.microsoft.com/office/drawing/2014/main" id="{00000000-0008-0000-0F00-00000C010000}"/>
            </a:ext>
          </a:extLst>
        </xdr:cNvPr>
        <xdr:cNvSpPr txBox="1">
          <a:spLocks noChangeArrowheads="1"/>
        </xdr:cNvSpPr>
      </xdr:nvSpPr>
      <xdr:spPr bwMode="auto">
        <a:xfrm>
          <a:off x="3095625" y="5343525"/>
          <a:ext cx="123825" cy="9388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214993</xdr:rowOff>
    </xdr:to>
    <xdr:sp macro="" textlink="">
      <xdr:nvSpPr>
        <xdr:cNvPr id="269" name="Text Box 211">
          <a:extLst>
            <a:ext uri="{FF2B5EF4-FFF2-40B4-BE49-F238E27FC236}">
              <a16:creationId xmlns:a16="http://schemas.microsoft.com/office/drawing/2014/main" id="{00000000-0008-0000-0F00-00000D010000}"/>
            </a:ext>
          </a:extLst>
        </xdr:cNvPr>
        <xdr:cNvSpPr txBox="1">
          <a:spLocks noChangeArrowheads="1"/>
        </xdr:cNvSpPr>
      </xdr:nvSpPr>
      <xdr:spPr bwMode="auto">
        <a:xfrm>
          <a:off x="3095625" y="5343525"/>
          <a:ext cx="123825" cy="8245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214993</xdr:rowOff>
    </xdr:to>
    <xdr:sp macro="" textlink="">
      <xdr:nvSpPr>
        <xdr:cNvPr id="270" name="Text Box 212">
          <a:extLst>
            <a:ext uri="{FF2B5EF4-FFF2-40B4-BE49-F238E27FC236}">
              <a16:creationId xmlns:a16="http://schemas.microsoft.com/office/drawing/2014/main" id="{00000000-0008-0000-0F00-00000E010000}"/>
            </a:ext>
          </a:extLst>
        </xdr:cNvPr>
        <xdr:cNvSpPr txBox="1">
          <a:spLocks noChangeArrowheads="1"/>
        </xdr:cNvSpPr>
      </xdr:nvSpPr>
      <xdr:spPr bwMode="auto">
        <a:xfrm>
          <a:off x="3095625" y="5343525"/>
          <a:ext cx="123825" cy="8245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214993</xdr:rowOff>
    </xdr:to>
    <xdr:sp macro="" textlink="">
      <xdr:nvSpPr>
        <xdr:cNvPr id="271" name="Text Box 213">
          <a:extLst>
            <a:ext uri="{FF2B5EF4-FFF2-40B4-BE49-F238E27FC236}">
              <a16:creationId xmlns:a16="http://schemas.microsoft.com/office/drawing/2014/main" id="{00000000-0008-0000-0F00-00000F010000}"/>
            </a:ext>
          </a:extLst>
        </xdr:cNvPr>
        <xdr:cNvSpPr txBox="1">
          <a:spLocks noChangeArrowheads="1"/>
        </xdr:cNvSpPr>
      </xdr:nvSpPr>
      <xdr:spPr bwMode="auto">
        <a:xfrm>
          <a:off x="3095625" y="5343525"/>
          <a:ext cx="123825" cy="824593"/>
        </a:xfrm>
        <a:prstGeom prst="rect">
          <a:avLst/>
        </a:prstGeom>
        <a:noFill/>
        <a:ln w="9525">
          <a:noFill/>
          <a:miter lim="800000"/>
          <a:headEnd/>
          <a:tailEnd/>
        </a:ln>
      </xdr:spPr>
    </xdr:sp>
    <xdr:clientData/>
  </xdr:twoCellAnchor>
  <xdr:twoCellAnchor editAs="oneCell">
    <xdr:from>
      <xdr:col>4</xdr:col>
      <xdr:colOff>0</xdr:colOff>
      <xdr:row>12</xdr:row>
      <xdr:rowOff>0</xdr:rowOff>
    </xdr:from>
    <xdr:to>
      <xdr:col>6</xdr:col>
      <xdr:colOff>123825</xdr:colOff>
      <xdr:row>13</xdr:row>
      <xdr:rowOff>214993</xdr:rowOff>
    </xdr:to>
    <xdr:sp macro="" textlink="">
      <xdr:nvSpPr>
        <xdr:cNvPr id="272" name="Text Box 214">
          <a:extLst>
            <a:ext uri="{FF2B5EF4-FFF2-40B4-BE49-F238E27FC236}">
              <a16:creationId xmlns:a16="http://schemas.microsoft.com/office/drawing/2014/main" id="{00000000-0008-0000-0F00-000010010000}"/>
            </a:ext>
          </a:extLst>
        </xdr:cNvPr>
        <xdr:cNvSpPr txBox="1">
          <a:spLocks noChangeArrowheads="1"/>
        </xdr:cNvSpPr>
      </xdr:nvSpPr>
      <xdr:spPr bwMode="auto">
        <a:xfrm>
          <a:off x="3095625" y="5343525"/>
          <a:ext cx="123825" cy="824593"/>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228600</xdr:rowOff>
    </xdr:to>
    <xdr:sp macro="" textlink="">
      <xdr:nvSpPr>
        <xdr:cNvPr id="273" name="Text Box 216">
          <a:extLst>
            <a:ext uri="{FF2B5EF4-FFF2-40B4-BE49-F238E27FC236}">
              <a16:creationId xmlns:a16="http://schemas.microsoft.com/office/drawing/2014/main" id="{00000000-0008-0000-0F00-000011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228600</xdr:rowOff>
    </xdr:to>
    <xdr:sp macro="" textlink="">
      <xdr:nvSpPr>
        <xdr:cNvPr id="274" name="Text Box 217">
          <a:extLst>
            <a:ext uri="{FF2B5EF4-FFF2-40B4-BE49-F238E27FC236}">
              <a16:creationId xmlns:a16="http://schemas.microsoft.com/office/drawing/2014/main" id="{00000000-0008-0000-0F00-000012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228600</xdr:rowOff>
    </xdr:to>
    <xdr:sp macro="" textlink="">
      <xdr:nvSpPr>
        <xdr:cNvPr id="275" name="Text Box 218">
          <a:extLst>
            <a:ext uri="{FF2B5EF4-FFF2-40B4-BE49-F238E27FC236}">
              <a16:creationId xmlns:a16="http://schemas.microsoft.com/office/drawing/2014/main" id="{00000000-0008-0000-0F00-000013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228600</xdr:rowOff>
    </xdr:to>
    <xdr:sp macro="" textlink="">
      <xdr:nvSpPr>
        <xdr:cNvPr id="276" name="Text Box 219">
          <a:extLst>
            <a:ext uri="{FF2B5EF4-FFF2-40B4-BE49-F238E27FC236}">
              <a16:creationId xmlns:a16="http://schemas.microsoft.com/office/drawing/2014/main" id="{00000000-0008-0000-0F00-000014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228600</xdr:rowOff>
    </xdr:to>
    <xdr:sp macro="" textlink="">
      <xdr:nvSpPr>
        <xdr:cNvPr id="277" name="Text Box 220">
          <a:extLst>
            <a:ext uri="{FF2B5EF4-FFF2-40B4-BE49-F238E27FC236}">
              <a16:creationId xmlns:a16="http://schemas.microsoft.com/office/drawing/2014/main" id="{00000000-0008-0000-0F00-000015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228600</xdr:rowOff>
    </xdr:to>
    <xdr:sp macro="" textlink="">
      <xdr:nvSpPr>
        <xdr:cNvPr id="278" name="Text Box 221">
          <a:extLst>
            <a:ext uri="{FF2B5EF4-FFF2-40B4-BE49-F238E27FC236}">
              <a16:creationId xmlns:a16="http://schemas.microsoft.com/office/drawing/2014/main" id="{00000000-0008-0000-0F00-000016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228600</xdr:rowOff>
    </xdr:to>
    <xdr:sp macro="" textlink="">
      <xdr:nvSpPr>
        <xdr:cNvPr id="279" name="Text Box 222">
          <a:extLst>
            <a:ext uri="{FF2B5EF4-FFF2-40B4-BE49-F238E27FC236}">
              <a16:creationId xmlns:a16="http://schemas.microsoft.com/office/drawing/2014/main" id="{00000000-0008-0000-0F00-000017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228600</xdr:rowOff>
    </xdr:to>
    <xdr:sp macro="" textlink="">
      <xdr:nvSpPr>
        <xdr:cNvPr id="280" name="Text Box 223">
          <a:extLst>
            <a:ext uri="{FF2B5EF4-FFF2-40B4-BE49-F238E27FC236}">
              <a16:creationId xmlns:a16="http://schemas.microsoft.com/office/drawing/2014/main" id="{00000000-0008-0000-0F00-000018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114300</xdr:colOff>
      <xdr:row>19</xdr:row>
      <xdr:rowOff>229961</xdr:rowOff>
    </xdr:to>
    <xdr:sp macro="" textlink="">
      <xdr:nvSpPr>
        <xdr:cNvPr id="281" name="Text Box 224">
          <a:extLst>
            <a:ext uri="{FF2B5EF4-FFF2-40B4-BE49-F238E27FC236}">
              <a16:creationId xmlns:a16="http://schemas.microsoft.com/office/drawing/2014/main" id="{00000000-0008-0000-0F00-000019010000}"/>
            </a:ext>
          </a:extLst>
        </xdr:cNvPr>
        <xdr:cNvSpPr txBox="1">
          <a:spLocks noChangeArrowheads="1"/>
        </xdr:cNvSpPr>
      </xdr:nvSpPr>
      <xdr:spPr bwMode="auto">
        <a:xfrm>
          <a:off x="3095625" y="9153525"/>
          <a:ext cx="114300" cy="934811"/>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229961</xdr:rowOff>
    </xdr:to>
    <xdr:sp macro="" textlink="">
      <xdr:nvSpPr>
        <xdr:cNvPr id="282" name="Text Box 226">
          <a:extLst>
            <a:ext uri="{FF2B5EF4-FFF2-40B4-BE49-F238E27FC236}">
              <a16:creationId xmlns:a16="http://schemas.microsoft.com/office/drawing/2014/main" id="{00000000-0008-0000-0F00-00001A010000}"/>
            </a:ext>
          </a:extLst>
        </xdr:cNvPr>
        <xdr:cNvSpPr txBox="1">
          <a:spLocks noChangeArrowheads="1"/>
        </xdr:cNvSpPr>
      </xdr:nvSpPr>
      <xdr:spPr bwMode="auto">
        <a:xfrm>
          <a:off x="3095625" y="9153525"/>
          <a:ext cx="123825" cy="934811"/>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229961</xdr:rowOff>
    </xdr:to>
    <xdr:sp macro="" textlink="">
      <xdr:nvSpPr>
        <xdr:cNvPr id="283" name="Text Box 227">
          <a:extLst>
            <a:ext uri="{FF2B5EF4-FFF2-40B4-BE49-F238E27FC236}">
              <a16:creationId xmlns:a16="http://schemas.microsoft.com/office/drawing/2014/main" id="{00000000-0008-0000-0F00-00001B010000}"/>
            </a:ext>
          </a:extLst>
        </xdr:cNvPr>
        <xdr:cNvSpPr txBox="1">
          <a:spLocks noChangeArrowheads="1"/>
        </xdr:cNvSpPr>
      </xdr:nvSpPr>
      <xdr:spPr bwMode="auto">
        <a:xfrm>
          <a:off x="3095625" y="9153525"/>
          <a:ext cx="123825" cy="934811"/>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229961</xdr:rowOff>
    </xdr:to>
    <xdr:sp macro="" textlink="">
      <xdr:nvSpPr>
        <xdr:cNvPr id="284" name="Text Box 228">
          <a:extLst>
            <a:ext uri="{FF2B5EF4-FFF2-40B4-BE49-F238E27FC236}">
              <a16:creationId xmlns:a16="http://schemas.microsoft.com/office/drawing/2014/main" id="{00000000-0008-0000-0F00-00001C010000}"/>
            </a:ext>
          </a:extLst>
        </xdr:cNvPr>
        <xdr:cNvSpPr txBox="1">
          <a:spLocks noChangeArrowheads="1"/>
        </xdr:cNvSpPr>
      </xdr:nvSpPr>
      <xdr:spPr bwMode="auto">
        <a:xfrm>
          <a:off x="3095625" y="9153525"/>
          <a:ext cx="123825" cy="934811"/>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229961</xdr:rowOff>
    </xdr:to>
    <xdr:sp macro="" textlink="">
      <xdr:nvSpPr>
        <xdr:cNvPr id="285" name="Text Box 229">
          <a:extLst>
            <a:ext uri="{FF2B5EF4-FFF2-40B4-BE49-F238E27FC236}">
              <a16:creationId xmlns:a16="http://schemas.microsoft.com/office/drawing/2014/main" id="{00000000-0008-0000-0F00-00001D010000}"/>
            </a:ext>
          </a:extLst>
        </xdr:cNvPr>
        <xdr:cNvSpPr txBox="1">
          <a:spLocks noChangeArrowheads="1"/>
        </xdr:cNvSpPr>
      </xdr:nvSpPr>
      <xdr:spPr bwMode="auto">
        <a:xfrm>
          <a:off x="3095625" y="9153525"/>
          <a:ext cx="123825" cy="934811"/>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228600</xdr:rowOff>
    </xdr:to>
    <xdr:sp macro="" textlink="">
      <xdr:nvSpPr>
        <xdr:cNvPr id="286" name="Text Box 230">
          <a:extLst>
            <a:ext uri="{FF2B5EF4-FFF2-40B4-BE49-F238E27FC236}">
              <a16:creationId xmlns:a16="http://schemas.microsoft.com/office/drawing/2014/main" id="{00000000-0008-0000-0F00-00001E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228600</xdr:rowOff>
    </xdr:to>
    <xdr:sp macro="" textlink="">
      <xdr:nvSpPr>
        <xdr:cNvPr id="287" name="Text Box 231">
          <a:extLst>
            <a:ext uri="{FF2B5EF4-FFF2-40B4-BE49-F238E27FC236}">
              <a16:creationId xmlns:a16="http://schemas.microsoft.com/office/drawing/2014/main" id="{00000000-0008-0000-0F00-00001F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228600</xdr:rowOff>
    </xdr:to>
    <xdr:sp macro="" textlink="">
      <xdr:nvSpPr>
        <xdr:cNvPr id="288" name="Text Box 232">
          <a:extLst>
            <a:ext uri="{FF2B5EF4-FFF2-40B4-BE49-F238E27FC236}">
              <a16:creationId xmlns:a16="http://schemas.microsoft.com/office/drawing/2014/main" id="{00000000-0008-0000-0F00-000020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228600</xdr:rowOff>
    </xdr:to>
    <xdr:sp macro="" textlink="">
      <xdr:nvSpPr>
        <xdr:cNvPr id="289" name="Text Box 233">
          <a:extLst>
            <a:ext uri="{FF2B5EF4-FFF2-40B4-BE49-F238E27FC236}">
              <a16:creationId xmlns:a16="http://schemas.microsoft.com/office/drawing/2014/main" id="{00000000-0008-0000-0F00-000021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4</xdr:col>
      <xdr:colOff>0</xdr:colOff>
      <xdr:row>18</xdr:row>
      <xdr:rowOff>0</xdr:rowOff>
    </xdr:from>
    <xdr:to>
      <xdr:col>6</xdr:col>
      <xdr:colOff>123825</xdr:colOff>
      <xdr:row>19</xdr:row>
      <xdr:rowOff>228600</xdr:rowOff>
    </xdr:to>
    <xdr:sp macro="" textlink="">
      <xdr:nvSpPr>
        <xdr:cNvPr id="290" name="Text Box 234">
          <a:extLst>
            <a:ext uri="{FF2B5EF4-FFF2-40B4-BE49-F238E27FC236}">
              <a16:creationId xmlns:a16="http://schemas.microsoft.com/office/drawing/2014/main" id="{00000000-0008-0000-0F00-000022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8</xdr:col>
      <xdr:colOff>952500</xdr:colOff>
      <xdr:row>11</xdr:row>
      <xdr:rowOff>0</xdr:rowOff>
    </xdr:from>
    <xdr:to>
      <xdr:col>9</xdr:col>
      <xdr:colOff>14968</xdr:colOff>
      <xdr:row>12</xdr:row>
      <xdr:rowOff>617613</xdr:rowOff>
    </xdr:to>
    <xdr:sp macro="" textlink="">
      <xdr:nvSpPr>
        <xdr:cNvPr id="291" name="Text Box 178">
          <a:extLst>
            <a:ext uri="{FF2B5EF4-FFF2-40B4-BE49-F238E27FC236}">
              <a16:creationId xmlns:a16="http://schemas.microsoft.com/office/drawing/2014/main" id="{00000000-0008-0000-0F00-000023010000}"/>
            </a:ext>
          </a:extLst>
        </xdr:cNvPr>
        <xdr:cNvSpPr txBox="1">
          <a:spLocks noChangeArrowheads="1"/>
        </xdr:cNvSpPr>
      </xdr:nvSpPr>
      <xdr:spPr bwMode="auto">
        <a:xfrm>
          <a:off x="6562725" y="4924425"/>
          <a:ext cx="119743" cy="831396"/>
        </a:xfrm>
        <a:prstGeom prst="rect">
          <a:avLst/>
        </a:prstGeom>
        <a:noFill/>
        <a:ln w="9525">
          <a:noFill/>
          <a:miter lim="800000"/>
          <a:headEnd/>
          <a:tailEnd/>
        </a:ln>
      </xdr:spPr>
    </xdr:sp>
    <xdr:clientData/>
  </xdr:twoCellAnchor>
  <xdr:twoCellAnchor editAs="oneCell">
    <xdr:from>
      <xdr:col>9</xdr:col>
      <xdr:colOff>530679</xdr:colOff>
      <xdr:row>10</xdr:row>
      <xdr:rowOff>217714</xdr:rowOff>
    </xdr:from>
    <xdr:to>
      <xdr:col>9</xdr:col>
      <xdr:colOff>654504</xdr:colOff>
      <xdr:row>12</xdr:row>
      <xdr:rowOff>504674</xdr:rowOff>
    </xdr:to>
    <xdr:sp macro="" textlink="">
      <xdr:nvSpPr>
        <xdr:cNvPr id="292" name="Text Box 179">
          <a:extLst>
            <a:ext uri="{FF2B5EF4-FFF2-40B4-BE49-F238E27FC236}">
              <a16:creationId xmlns:a16="http://schemas.microsoft.com/office/drawing/2014/main" id="{00000000-0008-0000-0F00-000024010000}"/>
            </a:ext>
          </a:extLst>
        </xdr:cNvPr>
        <xdr:cNvSpPr txBox="1">
          <a:spLocks noChangeArrowheads="1"/>
        </xdr:cNvSpPr>
      </xdr:nvSpPr>
      <xdr:spPr bwMode="auto">
        <a:xfrm>
          <a:off x="9484179" y="4713514"/>
          <a:ext cx="123825" cy="824593"/>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617613</xdr:rowOff>
    </xdr:to>
    <xdr:sp macro="" textlink="">
      <xdr:nvSpPr>
        <xdr:cNvPr id="293" name="Text Box 180">
          <a:extLst>
            <a:ext uri="{FF2B5EF4-FFF2-40B4-BE49-F238E27FC236}">
              <a16:creationId xmlns:a16="http://schemas.microsoft.com/office/drawing/2014/main" id="{00000000-0008-0000-0F00-000025010000}"/>
            </a:ext>
          </a:extLst>
        </xdr:cNvPr>
        <xdr:cNvSpPr txBox="1">
          <a:spLocks noChangeArrowheads="1"/>
        </xdr:cNvSpPr>
      </xdr:nvSpPr>
      <xdr:spPr bwMode="auto">
        <a:xfrm>
          <a:off x="5610225" y="4924425"/>
          <a:ext cx="123825" cy="831396"/>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617613</xdr:rowOff>
    </xdr:to>
    <xdr:sp macro="" textlink="">
      <xdr:nvSpPr>
        <xdr:cNvPr id="294" name="Text Box 181">
          <a:extLst>
            <a:ext uri="{FF2B5EF4-FFF2-40B4-BE49-F238E27FC236}">
              <a16:creationId xmlns:a16="http://schemas.microsoft.com/office/drawing/2014/main" id="{00000000-0008-0000-0F00-000026010000}"/>
            </a:ext>
          </a:extLst>
        </xdr:cNvPr>
        <xdr:cNvSpPr txBox="1">
          <a:spLocks noChangeArrowheads="1"/>
        </xdr:cNvSpPr>
      </xdr:nvSpPr>
      <xdr:spPr bwMode="auto">
        <a:xfrm>
          <a:off x="5610225" y="4924425"/>
          <a:ext cx="123825" cy="831396"/>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617613</xdr:rowOff>
    </xdr:to>
    <xdr:sp macro="" textlink="">
      <xdr:nvSpPr>
        <xdr:cNvPr id="295" name="Text Box 182">
          <a:extLst>
            <a:ext uri="{FF2B5EF4-FFF2-40B4-BE49-F238E27FC236}">
              <a16:creationId xmlns:a16="http://schemas.microsoft.com/office/drawing/2014/main" id="{00000000-0008-0000-0F00-000027010000}"/>
            </a:ext>
          </a:extLst>
        </xdr:cNvPr>
        <xdr:cNvSpPr txBox="1">
          <a:spLocks noChangeArrowheads="1"/>
        </xdr:cNvSpPr>
      </xdr:nvSpPr>
      <xdr:spPr bwMode="auto">
        <a:xfrm>
          <a:off x="5610225" y="4924425"/>
          <a:ext cx="123825" cy="831396"/>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617613</xdr:rowOff>
    </xdr:to>
    <xdr:sp macro="" textlink="">
      <xdr:nvSpPr>
        <xdr:cNvPr id="296" name="Text Box 183">
          <a:extLst>
            <a:ext uri="{FF2B5EF4-FFF2-40B4-BE49-F238E27FC236}">
              <a16:creationId xmlns:a16="http://schemas.microsoft.com/office/drawing/2014/main" id="{00000000-0008-0000-0F00-000028010000}"/>
            </a:ext>
          </a:extLst>
        </xdr:cNvPr>
        <xdr:cNvSpPr txBox="1">
          <a:spLocks noChangeArrowheads="1"/>
        </xdr:cNvSpPr>
      </xdr:nvSpPr>
      <xdr:spPr bwMode="auto">
        <a:xfrm>
          <a:off x="5610225" y="4924425"/>
          <a:ext cx="123825" cy="831396"/>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617613</xdr:rowOff>
    </xdr:to>
    <xdr:sp macro="" textlink="">
      <xdr:nvSpPr>
        <xdr:cNvPr id="297" name="Text Box 184">
          <a:extLst>
            <a:ext uri="{FF2B5EF4-FFF2-40B4-BE49-F238E27FC236}">
              <a16:creationId xmlns:a16="http://schemas.microsoft.com/office/drawing/2014/main" id="{00000000-0008-0000-0F00-000029010000}"/>
            </a:ext>
          </a:extLst>
        </xdr:cNvPr>
        <xdr:cNvSpPr txBox="1">
          <a:spLocks noChangeArrowheads="1"/>
        </xdr:cNvSpPr>
      </xdr:nvSpPr>
      <xdr:spPr bwMode="auto">
        <a:xfrm>
          <a:off x="5610225" y="4924425"/>
          <a:ext cx="123825" cy="831396"/>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617613</xdr:rowOff>
    </xdr:to>
    <xdr:sp macro="" textlink="">
      <xdr:nvSpPr>
        <xdr:cNvPr id="298" name="Text Box 185">
          <a:extLst>
            <a:ext uri="{FF2B5EF4-FFF2-40B4-BE49-F238E27FC236}">
              <a16:creationId xmlns:a16="http://schemas.microsoft.com/office/drawing/2014/main" id="{00000000-0008-0000-0F00-00002A010000}"/>
            </a:ext>
          </a:extLst>
        </xdr:cNvPr>
        <xdr:cNvSpPr txBox="1">
          <a:spLocks noChangeArrowheads="1"/>
        </xdr:cNvSpPr>
      </xdr:nvSpPr>
      <xdr:spPr bwMode="auto">
        <a:xfrm>
          <a:off x="5610225" y="4924425"/>
          <a:ext cx="123825" cy="831396"/>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114300</xdr:colOff>
      <xdr:row>12</xdr:row>
      <xdr:rowOff>706060</xdr:rowOff>
    </xdr:to>
    <xdr:sp macro="" textlink="">
      <xdr:nvSpPr>
        <xdr:cNvPr id="299" name="Text Box 186">
          <a:extLst>
            <a:ext uri="{FF2B5EF4-FFF2-40B4-BE49-F238E27FC236}">
              <a16:creationId xmlns:a16="http://schemas.microsoft.com/office/drawing/2014/main" id="{00000000-0008-0000-0F00-00002B010000}"/>
            </a:ext>
          </a:extLst>
        </xdr:cNvPr>
        <xdr:cNvSpPr txBox="1">
          <a:spLocks noChangeArrowheads="1"/>
        </xdr:cNvSpPr>
      </xdr:nvSpPr>
      <xdr:spPr bwMode="auto">
        <a:xfrm>
          <a:off x="5610225" y="4924425"/>
          <a:ext cx="114300" cy="919843"/>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114300</xdr:colOff>
      <xdr:row>12</xdr:row>
      <xdr:rowOff>706060</xdr:rowOff>
    </xdr:to>
    <xdr:sp macro="" textlink="">
      <xdr:nvSpPr>
        <xdr:cNvPr id="300" name="Text Box 187">
          <a:extLst>
            <a:ext uri="{FF2B5EF4-FFF2-40B4-BE49-F238E27FC236}">
              <a16:creationId xmlns:a16="http://schemas.microsoft.com/office/drawing/2014/main" id="{00000000-0008-0000-0F00-00002C010000}"/>
            </a:ext>
          </a:extLst>
        </xdr:cNvPr>
        <xdr:cNvSpPr txBox="1">
          <a:spLocks noChangeArrowheads="1"/>
        </xdr:cNvSpPr>
      </xdr:nvSpPr>
      <xdr:spPr bwMode="auto">
        <a:xfrm>
          <a:off x="5610225" y="4924425"/>
          <a:ext cx="114300" cy="919843"/>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706060</xdr:rowOff>
    </xdr:to>
    <xdr:sp macro="" textlink="">
      <xdr:nvSpPr>
        <xdr:cNvPr id="301" name="Text Box 188">
          <a:extLst>
            <a:ext uri="{FF2B5EF4-FFF2-40B4-BE49-F238E27FC236}">
              <a16:creationId xmlns:a16="http://schemas.microsoft.com/office/drawing/2014/main" id="{00000000-0008-0000-0F00-00002D010000}"/>
            </a:ext>
          </a:extLst>
        </xdr:cNvPr>
        <xdr:cNvSpPr txBox="1">
          <a:spLocks noChangeArrowheads="1"/>
        </xdr:cNvSpPr>
      </xdr:nvSpPr>
      <xdr:spPr bwMode="auto">
        <a:xfrm>
          <a:off x="5610225" y="4924425"/>
          <a:ext cx="123825" cy="919843"/>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706060</xdr:rowOff>
    </xdr:to>
    <xdr:sp macro="" textlink="">
      <xdr:nvSpPr>
        <xdr:cNvPr id="302" name="Text Box 189">
          <a:extLst>
            <a:ext uri="{FF2B5EF4-FFF2-40B4-BE49-F238E27FC236}">
              <a16:creationId xmlns:a16="http://schemas.microsoft.com/office/drawing/2014/main" id="{00000000-0008-0000-0F00-00002E010000}"/>
            </a:ext>
          </a:extLst>
        </xdr:cNvPr>
        <xdr:cNvSpPr txBox="1">
          <a:spLocks noChangeArrowheads="1"/>
        </xdr:cNvSpPr>
      </xdr:nvSpPr>
      <xdr:spPr bwMode="auto">
        <a:xfrm>
          <a:off x="5610225" y="4924425"/>
          <a:ext cx="123825" cy="919843"/>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706060</xdr:rowOff>
    </xdr:to>
    <xdr:sp macro="" textlink="">
      <xdr:nvSpPr>
        <xdr:cNvPr id="303" name="Text Box 190">
          <a:extLst>
            <a:ext uri="{FF2B5EF4-FFF2-40B4-BE49-F238E27FC236}">
              <a16:creationId xmlns:a16="http://schemas.microsoft.com/office/drawing/2014/main" id="{00000000-0008-0000-0F00-00002F010000}"/>
            </a:ext>
          </a:extLst>
        </xdr:cNvPr>
        <xdr:cNvSpPr txBox="1">
          <a:spLocks noChangeArrowheads="1"/>
        </xdr:cNvSpPr>
      </xdr:nvSpPr>
      <xdr:spPr bwMode="auto">
        <a:xfrm>
          <a:off x="5610225" y="4924425"/>
          <a:ext cx="123825" cy="919843"/>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706060</xdr:rowOff>
    </xdr:to>
    <xdr:sp macro="" textlink="">
      <xdr:nvSpPr>
        <xdr:cNvPr id="304" name="Text Box 191">
          <a:extLst>
            <a:ext uri="{FF2B5EF4-FFF2-40B4-BE49-F238E27FC236}">
              <a16:creationId xmlns:a16="http://schemas.microsoft.com/office/drawing/2014/main" id="{00000000-0008-0000-0F00-000030010000}"/>
            </a:ext>
          </a:extLst>
        </xdr:cNvPr>
        <xdr:cNvSpPr txBox="1">
          <a:spLocks noChangeArrowheads="1"/>
        </xdr:cNvSpPr>
      </xdr:nvSpPr>
      <xdr:spPr bwMode="auto">
        <a:xfrm>
          <a:off x="5610225" y="4924425"/>
          <a:ext cx="123825" cy="919843"/>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617613</xdr:rowOff>
    </xdr:to>
    <xdr:sp macro="" textlink="">
      <xdr:nvSpPr>
        <xdr:cNvPr id="305" name="Text Box 192">
          <a:extLst>
            <a:ext uri="{FF2B5EF4-FFF2-40B4-BE49-F238E27FC236}">
              <a16:creationId xmlns:a16="http://schemas.microsoft.com/office/drawing/2014/main" id="{00000000-0008-0000-0F00-000031010000}"/>
            </a:ext>
          </a:extLst>
        </xdr:cNvPr>
        <xdr:cNvSpPr txBox="1">
          <a:spLocks noChangeArrowheads="1"/>
        </xdr:cNvSpPr>
      </xdr:nvSpPr>
      <xdr:spPr bwMode="auto">
        <a:xfrm>
          <a:off x="5610225" y="4924425"/>
          <a:ext cx="123825" cy="831396"/>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617613</xdr:rowOff>
    </xdr:to>
    <xdr:sp macro="" textlink="">
      <xdr:nvSpPr>
        <xdr:cNvPr id="306" name="Text Box 193">
          <a:extLst>
            <a:ext uri="{FF2B5EF4-FFF2-40B4-BE49-F238E27FC236}">
              <a16:creationId xmlns:a16="http://schemas.microsoft.com/office/drawing/2014/main" id="{00000000-0008-0000-0F00-000032010000}"/>
            </a:ext>
          </a:extLst>
        </xdr:cNvPr>
        <xdr:cNvSpPr txBox="1">
          <a:spLocks noChangeArrowheads="1"/>
        </xdr:cNvSpPr>
      </xdr:nvSpPr>
      <xdr:spPr bwMode="auto">
        <a:xfrm>
          <a:off x="5610225" y="4924425"/>
          <a:ext cx="123825" cy="831396"/>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617613</xdr:rowOff>
    </xdr:to>
    <xdr:sp macro="" textlink="">
      <xdr:nvSpPr>
        <xdr:cNvPr id="307" name="Text Box 194">
          <a:extLst>
            <a:ext uri="{FF2B5EF4-FFF2-40B4-BE49-F238E27FC236}">
              <a16:creationId xmlns:a16="http://schemas.microsoft.com/office/drawing/2014/main" id="{00000000-0008-0000-0F00-000033010000}"/>
            </a:ext>
          </a:extLst>
        </xdr:cNvPr>
        <xdr:cNvSpPr txBox="1">
          <a:spLocks noChangeArrowheads="1"/>
        </xdr:cNvSpPr>
      </xdr:nvSpPr>
      <xdr:spPr bwMode="auto">
        <a:xfrm>
          <a:off x="5610225" y="4924425"/>
          <a:ext cx="123825" cy="831396"/>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617613</xdr:rowOff>
    </xdr:to>
    <xdr:sp macro="" textlink="">
      <xdr:nvSpPr>
        <xdr:cNvPr id="308" name="Text Box 195">
          <a:extLst>
            <a:ext uri="{FF2B5EF4-FFF2-40B4-BE49-F238E27FC236}">
              <a16:creationId xmlns:a16="http://schemas.microsoft.com/office/drawing/2014/main" id="{00000000-0008-0000-0F00-000034010000}"/>
            </a:ext>
          </a:extLst>
        </xdr:cNvPr>
        <xdr:cNvSpPr txBox="1">
          <a:spLocks noChangeArrowheads="1"/>
        </xdr:cNvSpPr>
      </xdr:nvSpPr>
      <xdr:spPr bwMode="auto">
        <a:xfrm>
          <a:off x="5610225" y="4924425"/>
          <a:ext cx="123825" cy="831396"/>
        </a:xfrm>
        <a:prstGeom prst="rect">
          <a:avLst/>
        </a:prstGeom>
        <a:noFill/>
        <a:ln w="9525">
          <a:noFill/>
          <a:miter lim="800000"/>
          <a:headEnd/>
          <a:tailEnd/>
        </a:ln>
      </xdr:spPr>
    </xdr:sp>
    <xdr:clientData/>
  </xdr:twoCellAnchor>
  <xdr:twoCellAnchor editAs="oneCell">
    <xdr:from>
      <xdr:col>8</xdr:col>
      <xdr:colOff>0</xdr:colOff>
      <xdr:row>11</xdr:row>
      <xdr:rowOff>0</xdr:rowOff>
    </xdr:from>
    <xdr:to>
      <xdr:col>8</xdr:col>
      <xdr:colOff>123825</xdr:colOff>
      <xdr:row>12</xdr:row>
      <xdr:rowOff>617613</xdr:rowOff>
    </xdr:to>
    <xdr:sp macro="" textlink="">
      <xdr:nvSpPr>
        <xdr:cNvPr id="309" name="Text Box 196">
          <a:extLst>
            <a:ext uri="{FF2B5EF4-FFF2-40B4-BE49-F238E27FC236}">
              <a16:creationId xmlns:a16="http://schemas.microsoft.com/office/drawing/2014/main" id="{00000000-0008-0000-0F00-000035010000}"/>
            </a:ext>
          </a:extLst>
        </xdr:cNvPr>
        <xdr:cNvSpPr txBox="1">
          <a:spLocks noChangeArrowheads="1"/>
        </xdr:cNvSpPr>
      </xdr:nvSpPr>
      <xdr:spPr bwMode="auto">
        <a:xfrm>
          <a:off x="5610225" y="4924425"/>
          <a:ext cx="123825" cy="831396"/>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214993</xdr:rowOff>
    </xdr:to>
    <xdr:sp macro="" textlink="">
      <xdr:nvSpPr>
        <xdr:cNvPr id="310" name="Text Box 197">
          <a:extLst>
            <a:ext uri="{FF2B5EF4-FFF2-40B4-BE49-F238E27FC236}">
              <a16:creationId xmlns:a16="http://schemas.microsoft.com/office/drawing/2014/main" id="{00000000-0008-0000-0F00-000036010000}"/>
            </a:ext>
          </a:extLst>
        </xdr:cNvPr>
        <xdr:cNvSpPr txBox="1">
          <a:spLocks noChangeArrowheads="1"/>
        </xdr:cNvSpPr>
      </xdr:nvSpPr>
      <xdr:spPr bwMode="auto">
        <a:xfrm>
          <a:off x="5610225" y="5343525"/>
          <a:ext cx="123825" cy="8245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214993</xdr:rowOff>
    </xdr:to>
    <xdr:sp macro="" textlink="">
      <xdr:nvSpPr>
        <xdr:cNvPr id="311" name="Text Box 198">
          <a:extLst>
            <a:ext uri="{FF2B5EF4-FFF2-40B4-BE49-F238E27FC236}">
              <a16:creationId xmlns:a16="http://schemas.microsoft.com/office/drawing/2014/main" id="{00000000-0008-0000-0F00-000037010000}"/>
            </a:ext>
          </a:extLst>
        </xdr:cNvPr>
        <xdr:cNvSpPr txBox="1">
          <a:spLocks noChangeArrowheads="1"/>
        </xdr:cNvSpPr>
      </xdr:nvSpPr>
      <xdr:spPr bwMode="auto">
        <a:xfrm>
          <a:off x="5610225" y="5343525"/>
          <a:ext cx="123825" cy="8245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214993</xdr:rowOff>
    </xdr:to>
    <xdr:sp macro="" textlink="">
      <xdr:nvSpPr>
        <xdr:cNvPr id="312" name="Text Box 199">
          <a:extLst>
            <a:ext uri="{FF2B5EF4-FFF2-40B4-BE49-F238E27FC236}">
              <a16:creationId xmlns:a16="http://schemas.microsoft.com/office/drawing/2014/main" id="{00000000-0008-0000-0F00-000038010000}"/>
            </a:ext>
          </a:extLst>
        </xdr:cNvPr>
        <xdr:cNvSpPr txBox="1">
          <a:spLocks noChangeArrowheads="1"/>
        </xdr:cNvSpPr>
      </xdr:nvSpPr>
      <xdr:spPr bwMode="auto">
        <a:xfrm>
          <a:off x="5610225" y="5343525"/>
          <a:ext cx="123825" cy="8245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214993</xdr:rowOff>
    </xdr:to>
    <xdr:sp macro="" textlink="">
      <xdr:nvSpPr>
        <xdr:cNvPr id="313" name="Text Box 200">
          <a:extLst>
            <a:ext uri="{FF2B5EF4-FFF2-40B4-BE49-F238E27FC236}">
              <a16:creationId xmlns:a16="http://schemas.microsoft.com/office/drawing/2014/main" id="{00000000-0008-0000-0F00-000039010000}"/>
            </a:ext>
          </a:extLst>
        </xdr:cNvPr>
        <xdr:cNvSpPr txBox="1">
          <a:spLocks noChangeArrowheads="1"/>
        </xdr:cNvSpPr>
      </xdr:nvSpPr>
      <xdr:spPr bwMode="auto">
        <a:xfrm>
          <a:off x="5610225" y="5343525"/>
          <a:ext cx="123825" cy="8245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214993</xdr:rowOff>
    </xdr:to>
    <xdr:sp macro="" textlink="">
      <xdr:nvSpPr>
        <xdr:cNvPr id="314" name="Text Box 201">
          <a:extLst>
            <a:ext uri="{FF2B5EF4-FFF2-40B4-BE49-F238E27FC236}">
              <a16:creationId xmlns:a16="http://schemas.microsoft.com/office/drawing/2014/main" id="{00000000-0008-0000-0F00-00003A010000}"/>
            </a:ext>
          </a:extLst>
        </xdr:cNvPr>
        <xdr:cNvSpPr txBox="1">
          <a:spLocks noChangeArrowheads="1"/>
        </xdr:cNvSpPr>
      </xdr:nvSpPr>
      <xdr:spPr bwMode="auto">
        <a:xfrm>
          <a:off x="5610225" y="5343525"/>
          <a:ext cx="123825" cy="8245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214993</xdr:rowOff>
    </xdr:to>
    <xdr:sp macro="" textlink="">
      <xdr:nvSpPr>
        <xdr:cNvPr id="315" name="Text Box 202">
          <a:extLst>
            <a:ext uri="{FF2B5EF4-FFF2-40B4-BE49-F238E27FC236}">
              <a16:creationId xmlns:a16="http://schemas.microsoft.com/office/drawing/2014/main" id="{00000000-0008-0000-0F00-00003B010000}"/>
            </a:ext>
          </a:extLst>
        </xdr:cNvPr>
        <xdr:cNvSpPr txBox="1">
          <a:spLocks noChangeArrowheads="1"/>
        </xdr:cNvSpPr>
      </xdr:nvSpPr>
      <xdr:spPr bwMode="auto">
        <a:xfrm>
          <a:off x="5610225" y="5343525"/>
          <a:ext cx="123825" cy="8245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214993</xdr:rowOff>
    </xdr:to>
    <xdr:sp macro="" textlink="">
      <xdr:nvSpPr>
        <xdr:cNvPr id="316" name="Text Box 203">
          <a:extLst>
            <a:ext uri="{FF2B5EF4-FFF2-40B4-BE49-F238E27FC236}">
              <a16:creationId xmlns:a16="http://schemas.microsoft.com/office/drawing/2014/main" id="{00000000-0008-0000-0F00-00003C010000}"/>
            </a:ext>
          </a:extLst>
        </xdr:cNvPr>
        <xdr:cNvSpPr txBox="1">
          <a:spLocks noChangeArrowheads="1"/>
        </xdr:cNvSpPr>
      </xdr:nvSpPr>
      <xdr:spPr bwMode="auto">
        <a:xfrm>
          <a:off x="5610225" y="5343525"/>
          <a:ext cx="123825" cy="8245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214993</xdr:rowOff>
    </xdr:to>
    <xdr:sp macro="" textlink="">
      <xdr:nvSpPr>
        <xdr:cNvPr id="317" name="Text Box 204">
          <a:extLst>
            <a:ext uri="{FF2B5EF4-FFF2-40B4-BE49-F238E27FC236}">
              <a16:creationId xmlns:a16="http://schemas.microsoft.com/office/drawing/2014/main" id="{00000000-0008-0000-0F00-00003D010000}"/>
            </a:ext>
          </a:extLst>
        </xdr:cNvPr>
        <xdr:cNvSpPr txBox="1">
          <a:spLocks noChangeArrowheads="1"/>
        </xdr:cNvSpPr>
      </xdr:nvSpPr>
      <xdr:spPr bwMode="auto">
        <a:xfrm>
          <a:off x="5610225" y="5343525"/>
          <a:ext cx="123825" cy="8245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114300</xdr:colOff>
      <xdr:row>13</xdr:row>
      <xdr:rowOff>329293</xdr:rowOff>
    </xdr:to>
    <xdr:sp macro="" textlink="">
      <xdr:nvSpPr>
        <xdr:cNvPr id="318" name="Text Box 205">
          <a:extLst>
            <a:ext uri="{FF2B5EF4-FFF2-40B4-BE49-F238E27FC236}">
              <a16:creationId xmlns:a16="http://schemas.microsoft.com/office/drawing/2014/main" id="{00000000-0008-0000-0F00-00003E010000}"/>
            </a:ext>
          </a:extLst>
        </xdr:cNvPr>
        <xdr:cNvSpPr txBox="1">
          <a:spLocks noChangeArrowheads="1"/>
        </xdr:cNvSpPr>
      </xdr:nvSpPr>
      <xdr:spPr bwMode="auto">
        <a:xfrm>
          <a:off x="5610225" y="5343525"/>
          <a:ext cx="114300" cy="9388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114300</xdr:colOff>
      <xdr:row>13</xdr:row>
      <xdr:rowOff>329293</xdr:rowOff>
    </xdr:to>
    <xdr:sp macro="" textlink="">
      <xdr:nvSpPr>
        <xdr:cNvPr id="319" name="Text Box 206">
          <a:extLst>
            <a:ext uri="{FF2B5EF4-FFF2-40B4-BE49-F238E27FC236}">
              <a16:creationId xmlns:a16="http://schemas.microsoft.com/office/drawing/2014/main" id="{00000000-0008-0000-0F00-00003F010000}"/>
            </a:ext>
          </a:extLst>
        </xdr:cNvPr>
        <xdr:cNvSpPr txBox="1">
          <a:spLocks noChangeArrowheads="1"/>
        </xdr:cNvSpPr>
      </xdr:nvSpPr>
      <xdr:spPr bwMode="auto">
        <a:xfrm>
          <a:off x="5610225" y="5343525"/>
          <a:ext cx="114300" cy="9388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329293</xdr:rowOff>
    </xdr:to>
    <xdr:sp macro="" textlink="">
      <xdr:nvSpPr>
        <xdr:cNvPr id="320" name="Text Box 207">
          <a:extLst>
            <a:ext uri="{FF2B5EF4-FFF2-40B4-BE49-F238E27FC236}">
              <a16:creationId xmlns:a16="http://schemas.microsoft.com/office/drawing/2014/main" id="{00000000-0008-0000-0F00-000040010000}"/>
            </a:ext>
          </a:extLst>
        </xdr:cNvPr>
        <xdr:cNvSpPr txBox="1">
          <a:spLocks noChangeArrowheads="1"/>
        </xdr:cNvSpPr>
      </xdr:nvSpPr>
      <xdr:spPr bwMode="auto">
        <a:xfrm>
          <a:off x="5610225" y="5343525"/>
          <a:ext cx="123825" cy="9388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329293</xdr:rowOff>
    </xdr:to>
    <xdr:sp macro="" textlink="">
      <xdr:nvSpPr>
        <xdr:cNvPr id="321" name="Text Box 208">
          <a:extLst>
            <a:ext uri="{FF2B5EF4-FFF2-40B4-BE49-F238E27FC236}">
              <a16:creationId xmlns:a16="http://schemas.microsoft.com/office/drawing/2014/main" id="{00000000-0008-0000-0F00-000041010000}"/>
            </a:ext>
          </a:extLst>
        </xdr:cNvPr>
        <xdr:cNvSpPr txBox="1">
          <a:spLocks noChangeArrowheads="1"/>
        </xdr:cNvSpPr>
      </xdr:nvSpPr>
      <xdr:spPr bwMode="auto">
        <a:xfrm>
          <a:off x="5610225" y="5343525"/>
          <a:ext cx="123825" cy="9388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329293</xdr:rowOff>
    </xdr:to>
    <xdr:sp macro="" textlink="">
      <xdr:nvSpPr>
        <xdr:cNvPr id="322" name="Text Box 209">
          <a:extLst>
            <a:ext uri="{FF2B5EF4-FFF2-40B4-BE49-F238E27FC236}">
              <a16:creationId xmlns:a16="http://schemas.microsoft.com/office/drawing/2014/main" id="{00000000-0008-0000-0F00-000042010000}"/>
            </a:ext>
          </a:extLst>
        </xdr:cNvPr>
        <xdr:cNvSpPr txBox="1">
          <a:spLocks noChangeArrowheads="1"/>
        </xdr:cNvSpPr>
      </xdr:nvSpPr>
      <xdr:spPr bwMode="auto">
        <a:xfrm>
          <a:off x="5610225" y="5343525"/>
          <a:ext cx="123825" cy="9388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329293</xdr:rowOff>
    </xdr:to>
    <xdr:sp macro="" textlink="">
      <xdr:nvSpPr>
        <xdr:cNvPr id="323" name="Text Box 210">
          <a:extLst>
            <a:ext uri="{FF2B5EF4-FFF2-40B4-BE49-F238E27FC236}">
              <a16:creationId xmlns:a16="http://schemas.microsoft.com/office/drawing/2014/main" id="{00000000-0008-0000-0F00-000043010000}"/>
            </a:ext>
          </a:extLst>
        </xdr:cNvPr>
        <xdr:cNvSpPr txBox="1">
          <a:spLocks noChangeArrowheads="1"/>
        </xdr:cNvSpPr>
      </xdr:nvSpPr>
      <xdr:spPr bwMode="auto">
        <a:xfrm>
          <a:off x="5610225" y="5343525"/>
          <a:ext cx="123825" cy="9388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214993</xdr:rowOff>
    </xdr:to>
    <xdr:sp macro="" textlink="">
      <xdr:nvSpPr>
        <xdr:cNvPr id="324" name="Text Box 211">
          <a:extLst>
            <a:ext uri="{FF2B5EF4-FFF2-40B4-BE49-F238E27FC236}">
              <a16:creationId xmlns:a16="http://schemas.microsoft.com/office/drawing/2014/main" id="{00000000-0008-0000-0F00-000044010000}"/>
            </a:ext>
          </a:extLst>
        </xdr:cNvPr>
        <xdr:cNvSpPr txBox="1">
          <a:spLocks noChangeArrowheads="1"/>
        </xdr:cNvSpPr>
      </xdr:nvSpPr>
      <xdr:spPr bwMode="auto">
        <a:xfrm>
          <a:off x="5610225" y="5343525"/>
          <a:ext cx="123825" cy="8245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214993</xdr:rowOff>
    </xdr:to>
    <xdr:sp macro="" textlink="">
      <xdr:nvSpPr>
        <xdr:cNvPr id="325" name="Text Box 212">
          <a:extLst>
            <a:ext uri="{FF2B5EF4-FFF2-40B4-BE49-F238E27FC236}">
              <a16:creationId xmlns:a16="http://schemas.microsoft.com/office/drawing/2014/main" id="{00000000-0008-0000-0F00-000045010000}"/>
            </a:ext>
          </a:extLst>
        </xdr:cNvPr>
        <xdr:cNvSpPr txBox="1">
          <a:spLocks noChangeArrowheads="1"/>
        </xdr:cNvSpPr>
      </xdr:nvSpPr>
      <xdr:spPr bwMode="auto">
        <a:xfrm>
          <a:off x="5610225" y="5343525"/>
          <a:ext cx="123825" cy="8245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214993</xdr:rowOff>
    </xdr:to>
    <xdr:sp macro="" textlink="">
      <xdr:nvSpPr>
        <xdr:cNvPr id="326" name="Text Box 213">
          <a:extLst>
            <a:ext uri="{FF2B5EF4-FFF2-40B4-BE49-F238E27FC236}">
              <a16:creationId xmlns:a16="http://schemas.microsoft.com/office/drawing/2014/main" id="{00000000-0008-0000-0F00-000046010000}"/>
            </a:ext>
          </a:extLst>
        </xdr:cNvPr>
        <xdr:cNvSpPr txBox="1">
          <a:spLocks noChangeArrowheads="1"/>
        </xdr:cNvSpPr>
      </xdr:nvSpPr>
      <xdr:spPr bwMode="auto">
        <a:xfrm>
          <a:off x="5610225" y="5343525"/>
          <a:ext cx="123825" cy="824593"/>
        </a:xfrm>
        <a:prstGeom prst="rect">
          <a:avLst/>
        </a:prstGeom>
        <a:noFill/>
        <a:ln w="9525">
          <a:noFill/>
          <a:miter lim="800000"/>
          <a:headEnd/>
          <a:tailEnd/>
        </a:ln>
      </xdr:spPr>
    </xdr:sp>
    <xdr:clientData/>
  </xdr:twoCellAnchor>
  <xdr:twoCellAnchor editAs="oneCell">
    <xdr:from>
      <xdr:col>8</xdr:col>
      <xdr:colOff>0</xdr:colOff>
      <xdr:row>12</xdr:row>
      <xdr:rowOff>0</xdr:rowOff>
    </xdr:from>
    <xdr:to>
      <xdr:col>8</xdr:col>
      <xdr:colOff>123825</xdr:colOff>
      <xdr:row>13</xdr:row>
      <xdr:rowOff>214993</xdr:rowOff>
    </xdr:to>
    <xdr:sp macro="" textlink="">
      <xdr:nvSpPr>
        <xdr:cNvPr id="327" name="Text Box 214">
          <a:extLst>
            <a:ext uri="{FF2B5EF4-FFF2-40B4-BE49-F238E27FC236}">
              <a16:creationId xmlns:a16="http://schemas.microsoft.com/office/drawing/2014/main" id="{00000000-0008-0000-0F00-000047010000}"/>
            </a:ext>
          </a:extLst>
        </xdr:cNvPr>
        <xdr:cNvSpPr txBox="1">
          <a:spLocks noChangeArrowheads="1"/>
        </xdr:cNvSpPr>
      </xdr:nvSpPr>
      <xdr:spPr bwMode="auto">
        <a:xfrm>
          <a:off x="5610225" y="5343525"/>
          <a:ext cx="123825" cy="824593"/>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228600</xdr:rowOff>
    </xdr:to>
    <xdr:sp macro="" textlink="">
      <xdr:nvSpPr>
        <xdr:cNvPr id="328" name="Text Box 216">
          <a:extLst>
            <a:ext uri="{FF2B5EF4-FFF2-40B4-BE49-F238E27FC236}">
              <a16:creationId xmlns:a16="http://schemas.microsoft.com/office/drawing/2014/main" id="{00000000-0008-0000-0F00-000048010000}"/>
            </a:ext>
          </a:extLst>
        </xdr:cNvPr>
        <xdr:cNvSpPr txBox="1">
          <a:spLocks noChangeArrowheads="1"/>
        </xdr:cNvSpPr>
      </xdr:nvSpPr>
      <xdr:spPr bwMode="auto">
        <a:xfrm>
          <a:off x="5610225" y="9153525"/>
          <a:ext cx="123825" cy="83820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228600</xdr:rowOff>
    </xdr:to>
    <xdr:sp macro="" textlink="">
      <xdr:nvSpPr>
        <xdr:cNvPr id="329" name="Text Box 217">
          <a:extLst>
            <a:ext uri="{FF2B5EF4-FFF2-40B4-BE49-F238E27FC236}">
              <a16:creationId xmlns:a16="http://schemas.microsoft.com/office/drawing/2014/main" id="{00000000-0008-0000-0F00-000049010000}"/>
            </a:ext>
          </a:extLst>
        </xdr:cNvPr>
        <xdr:cNvSpPr txBox="1">
          <a:spLocks noChangeArrowheads="1"/>
        </xdr:cNvSpPr>
      </xdr:nvSpPr>
      <xdr:spPr bwMode="auto">
        <a:xfrm>
          <a:off x="5610225" y="9153525"/>
          <a:ext cx="123825" cy="83820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228600</xdr:rowOff>
    </xdr:to>
    <xdr:sp macro="" textlink="">
      <xdr:nvSpPr>
        <xdr:cNvPr id="330" name="Text Box 218">
          <a:extLst>
            <a:ext uri="{FF2B5EF4-FFF2-40B4-BE49-F238E27FC236}">
              <a16:creationId xmlns:a16="http://schemas.microsoft.com/office/drawing/2014/main" id="{00000000-0008-0000-0F00-00004A010000}"/>
            </a:ext>
          </a:extLst>
        </xdr:cNvPr>
        <xdr:cNvSpPr txBox="1">
          <a:spLocks noChangeArrowheads="1"/>
        </xdr:cNvSpPr>
      </xdr:nvSpPr>
      <xdr:spPr bwMode="auto">
        <a:xfrm>
          <a:off x="5610225" y="9153525"/>
          <a:ext cx="123825" cy="83820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228600</xdr:rowOff>
    </xdr:to>
    <xdr:sp macro="" textlink="">
      <xdr:nvSpPr>
        <xdr:cNvPr id="331" name="Text Box 219">
          <a:extLst>
            <a:ext uri="{FF2B5EF4-FFF2-40B4-BE49-F238E27FC236}">
              <a16:creationId xmlns:a16="http://schemas.microsoft.com/office/drawing/2014/main" id="{00000000-0008-0000-0F00-00004B010000}"/>
            </a:ext>
          </a:extLst>
        </xdr:cNvPr>
        <xdr:cNvSpPr txBox="1">
          <a:spLocks noChangeArrowheads="1"/>
        </xdr:cNvSpPr>
      </xdr:nvSpPr>
      <xdr:spPr bwMode="auto">
        <a:xfrm>
          <a:off x="5610225" y="9153525"/>
          <a:ext cx="123825" cy="83820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228600</xdr:rowOff>
    </xdr:to>
    <xdr:sp macro="" textlink="">
      <xdr:nvSpPr>
        <xdr:cNvPr id="332" name="Text Box 220">
          <a:extLst>
            <a:ext uri="{FF2B5EF4-FFF2-40B4-BE49-F238E27FC236}">
              <a16:creationId xmlns:a16="http://schemas.microsoft.com/office/drawing/2014/main" id="{00000000-0008-0000-0F00-00004C010000}"/>
            </a:ext>
          </a:extLst>
        </xdr:cNvPr>
        <xdr:cNvSpPr txBox="1">
          <a:spLocks noChangeArrowheads="1"/>
        </xdr:cNvSpPr>
      </xdr:nvSpPr>
      <xdr:spPr bwMode="auto">
        <a:xfrm>
          <a:off x="5610225" y="9153525"/>
          <a:ext cx="123825" cy="83820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228600</xdr:rowOff>
    </xdr:to>
    <xdr:sp macro="" textlink="">
      <xdr:nvSpPr>
        <xdr:cNvPr id="333" name="Text Box 221">
          <a:extLst>
            <a:ext uri="{FF2B5EF4-FFF2-40B4-BE49-F238E27FC236}">
              <a16:creationId xmlns:a16="http://schemas.microsoft.com/office/drawing/2014/main" id="{00000000-0008-0000-0F00-00004D010000}"/>
            </a:ext>
          </a:extLst>
        </xdr:cNvPr>
        <xdr:cNvSpPr txBox="1">
          <a:spLocks noChangeArrowheads="1"/>
        </xdr:cNvSpPr>
      </xdr:nvSpPr>
      <xdr:spPr bwMode="auto">
        <a:xfrm>
          <a:off x="5610225" y="9153525"/>
          <a:ext cx="123825" cy="83820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228600</xdr:rowOff>
    </xdr:to>
    <xdr:sp macro="" textlink="">
      <xdr:nvSpPr>
        <xdr:cNvPr id="334" name="Text Box 222">
          <a:extLst>
            <a:ext uri="{FF2B5EF4-FFF2-40B4-BE49-F238E27FC236}">
              <a16:creationId xmlns:a16="http://schemas.microsoft.com/office/drawing/2014/main" id="{00000000-0008-0000-0F00-00004E010000}"/>
            </a:ext>
          </a:extLst>
        </xdr:cNvPr>
        <xdr:cNvSpPr txBox="1">
          <a:spLocks noChangeArrowheads="1"/>
        </xdr:cNvSpPr>
      </xdr:nvSpPr>
      <xdr:spPr bwMode="auto">
        <a:xfrm>
          <a:off x="5610225" y="9153525"/>
          <a:ext cx="123825" cy="83820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228600</xdr:rowOff>
    </xdr:to>
    <xdr:sp macro="" textlink="">
      <xdr:nvSpPr>
        <xdr:cNvPr id="335" name="Text Box 223">
          <a:extLst>
            <a:ext uri="{FF2B5EF4-FFF2-40B4-BE49-F238E27FC236}">
              <a16:creationId xmlns:a16="http://schemas.microsoft.com/office/drawing/2014/main" id="{00000000-0008-0000-0F00-00004F010000}"/>
            </a:ext>
          </a:extLst>
        </xdr:cNvPr>
        <xdr:cNvSpPr txBox="1">
          <a:spLocks noChangeArrowheads="1"/>
        </xdr:cNvSpPr>
      </xdr:nvSpPr>
      <xdr:spPr bwMode="auto">
        <a:xfrm>
          <a:off x="5610225" y="9153525"/>
          <a:ext cx="123825" cy="83820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114300</xdr:colOff>
      <xdr:row>19</xdr:row>
      <xdr:rowOff>229961</xdr:rowOff>
    </xdr:to>
    <xdr:sp macro="" textlink="">
      <xdr:nvSpPr>
        <xdr:cNvPr id="336" name="Text Box 224">
          <a:extLst>
            <a:ext uri="{FF2B5EF4-FFF2-40B4-BE49-F238E27FC236}">
              <a16:creationId xmlns:a16="http://schemas.microsoft.com/office/drawing/2014/main" id="{00000000-0008-0000-0F00-000050010000}"/>
            </a:ext>
          </a:extLst>
        </xdr:cNvPr>
        <xdr:cNvSpPr txBox="1">
          <a:spLocks noChangeArrowheads="1"/>
        </xdr:cNvSpPr>
      </xdr:nvSpPr>
      <xdr:spPr bwMode="auto">
        <a:xfrm>
          <a:off x="5610225" y="9153525"/>
          <a:ext cx="114300" cy="934811"/>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229961</xdr:rowOff>
    </xdr:to>
    <xdr:sp macro="" textlink="">
      <xdr:nvSpPr>
        <xdr:cNvPr id="337" name="Text Box 226">
          <a:extLst>
            <a:ext uri="{FF2B5EF4-FFF2-40B4-BE49-F238E27FC236}">
              <a16:creationId xmlns:a16="http://schemas.microsoft.com/office/drawing/2014/main" id="{00000000-0008-0000-0F00-000051010000}"/>
            </a:ext>
          </a:extLst>
        </xdr:cNvPr>
        <xdr:cNvSpPr txBox="1">
          <a:spLocks noChangeArrowheads="1"/>
        </xdr:cNvSpPr>
      </xdr:nvSpPr>
      <xdr:spPr bwMode="auto">
        <a:xfrm>
          <a:off x="5610225" y="9153525"/>
          <a:ext cx="123825" cy="934811"/>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229961</xdr:rowOff>
    </xdr:to>
    <xdr:sp macro="" textlink="">
      <xdr:nvSpPr>
        <xdr:cNvPr id="338" name="Text Box 227">
          <a:extLst>
            <a:ext uri="{FF2B5EF4-FFF2-40B4-BE49-F238E27FC236}">
              <a16:creationId xmlns:a16="http://schemas.microsoft.com/office/drawing/2014/main" id="{00000000-0008-0000-0F00-000052010000}"/>
            </a:ext>
          </a:extLst>
        </xdr:cNvPr>
        <xdr:cNvSpPr txBox="1">
          <a:spLocks noChangeArrowheads="1"/>
        </xdr:cNvSpPr>
      </xdr:nvSpPr>
      <xdr:spPr bwMode="auto">
        <a:xfrm>
          <a:off x="5610225" y="9153525"/>
          <a:ext cx="123825" cy="934811"/>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229961</xdr:rowOff>
    </xdr:to>
    <xdr:sp macro="" textlink="">
      <xdr:nvSpPr>
        <xdr:cNvPr id="339" name="Text Box 228">
          <a:extLst>
            <a:ext uri="{FF2B5EF4-FFF2-40B4-BE49-F238E27FC236}">
              <a16:creationId xmlns:a16="http://schemas.microsoft.com/office/drawing/2014/main" id="{00000000-0008-0000-0F00-000053010000}"/>
            </a:ext>
          </a:extLst>
        </xdr:cNvPr>
        <xdr:cNvSpPr txBox="1">
          <a:spLocks noChangeArrowheads="1"/>
        </xdr:cNvSpPr>
      </xdr:nvSpPr>
      <xdr:spPr bwMode="auto">
        <a:xfrm>
          <a:off x="5610225" y="9153525"/>
          <a:ext cx="123825" cy="934811"/>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229961</xdr:rowOff>
    </xdr:to>
    <xdr:sp macro="" textlink="">
      <xdr:nvSpPr>
        <xdr:cNvPr id="340" name="Text Box 229">
          <a:extLst>
            <a:ext uri="{FF2B5EF4-FFF2-40B4-BE49-F238E27FC236}">
              <a16:creationId xmlns:a16="http://schemas.microsoft.com/office/drawing/2014/main" id="{00000000-0008-0000-0F00-000054010000}"/>
            </a:ext>
          </a:extLst>
        </xdr:cNvPr>
        <xdr:cNvSpPr txBox="1">
          <a:spLocks noChangeArrowheads="1"/>
        </xdr:cNvSpPr>
      </xdr:nvSpPr>
      <xdr:spPr bwMode="auto">
        <a:xfrm>
          <a:off x="5610225" y="9153525"/>
          <a:ext cx="123825" cy="934811"/>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228600</xdr:rowOff>
    </xdr:to>
    <xdr:sp macro="" textlink="">
      <xdr:nvSpPr>
        <xdr:cNvPr id="341" name="Text Box 230">
          <a:extLst>
            <a:ext uri="{FF2B5EF4-FFF2-40B4-BE49-F238E27FC236}">
              <a16:creationId xmlns:a16="http://schemas.microsoft.com/office/drawing/2014/main" id="{00000000-0008-0000-0F00-000055010000}"/>
            </a:ext>
          </a:extLst>
        </xdr:cNvPr>
        <xdr:cNvSpPr txBox="1">
          <a:spLocks noChangeArrowheads="1"/>
        </xdr:cNvSpPr>
      </xdr:nvSpPr>
      <xdr:spPr bwMode="auto">
        <a:xfrm>
          <a:off x="5610225" y="9153525"/>
          <a:ext cx="123825" cy="83820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228600</xdr:rowOff>
    </xdr:to>
    <xdr:sp macro="" textlink="">
      <xdr:nvSpPr>
        <xdr:cNvPr id="342" name="Text Box 231">
          <a:extLst>
            <a:ext uri="{FF2B5EF4-FFF2-40B4-BE49-F238E27FC236}">
              <a16:creationId xmlns:a16="http://schemas.microsoft.com/office/drawing/2014/main" id="{00000000-0008-0000-0F00-000056010000}"/>
            </a:ext>
          </a:extLst>
        </xdr:cNvPr>
        <xdr:cNvSpPr txBox="1">
          <a:spLocks noChangeArrowheads="1"/>
        </xdr:cNvSpPr>
      </xdr:nvSpPr>
      <xdr:spPr bwMode="auto">
        <a:xfrm>
          <a:off x="5610225" y="9153525"/>
          <a:ext cx="123825" cy="83820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228600</xdr:rowOff>
    </xdr:to>
    <xdr:sp macro="" textlink="">
      <xdr:nvSpPr>
        <xdr:cNvPr id="343" name="Text Box 232">
          <a:extLst>
            <a:ext uri="{FF2B5EF4-FFF2-40B4-BE49-F238E27FC236}">
              <a16:creationId xmlns:a16="http://schemas.microsoft.com/office/drawing/2014/main" id="{00000000-0008-0000-0F00-000057010000}"/>
            </a:ext>
          </a:extLst>
        </xdr:cNvPr>
        <xdr:cNvSpPr txBox="1">
          <a:spLocks noChangeArrowheads="1"/>
        </xdr:cNvSpPr>
      </xdr:nvSpPr>
      <xdr:spPr bwMode="auto">
        <a:xfrm>
          <a:off x="5610225" y="9153525"/>
          <a:ext cx="123825" cy="838200"/>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8</xdr:col>
      <xdr:colOff>123825</xdr:colOff>
      <xdr:row>19</xdr:row>
      <xdr:rowOff>228600</xdr:rowOff>
    </xdr:to>
    <xdr:sp macro="" textlink="">
      <xdr:nvSpPr>
        <xdr:cNvPr id="344" name="Text Box 233">
          <a:extLst>
            <a:ext uri="{FF2B5EF4-FFF2-40B4-BE49-F238E27FC236}">
              <a16:creationId xmlns:a16="http://schemas.microsoft.com/office/drawing/2014/main" id="{00000000-0008-0000-0F00-000058010000}"/>
            </a:ext>
          </a:extLst>
        </xdr:cNvPr>
        <xdr:cNvSpPr txBox="1">
          <a:spLocks noChangeArrowheads="1"/>
        </xdr:cNvSpPr>
      </xdr:nvSpPr>
      <xdr:spPr bwMode="auto">
        <a:xfrm>
          <a:off x="5610225" y="9153525"/>
          <a:ext cx="123825" cy="838200"/>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228600</xdr:rowOff>
    </xdr:to>
    <xdr:sp macro="" textlink="">
      <xdr:nvSpPr>
        <xdr:cNvPr id="345" name="Text Box 216">
          <a:extLst>
            <a:ext uri="{FF2B5EF4-FFF2-40B4-BE49-F238E27FC236}">
              <a16:creationId xmlns:a16="http://schemas.microsoft.com/office/drawing/2014/main" id="{00000000-0008-0000-0F00-000059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228600</xdr:rowOff>
    </xdr:to>
    <xdr:sp macro="" textlink="">
      <xdr:nvSpPr>
        <xdr:cNvPr id="346" name="Text Box 217">
          <a:extLst>
            <a:ext uri="{FF2B5EF4-FFF2-40B4-BE49-F238E27FC236}">
              <a16:creationId xmlns:a16="http://schemas.microsoft.com/office/drawing/2014/main" id="{00000000-0008-0000-0F00-00005A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228600</xdr:rowOff>
    </xdr:to>
    <xdr:sp macro="" textlink="">
      <xdr:nvSpPr>
        <xdr:cNvPr id="347" name="Text Box 218">
          <a:extLst>
            <a:ext uri="{FF2B5EF4-FFF2-40B4-BE49-F238E27FC236}">
              <a16:creationId xmlns:a16="http://schemas.microsoft.com/office/drawing/2014/main" id="{00000000-0008-0000-0F00-00005B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228600</xdr:rowOff>
    </xdr:to>
    <xdr:sp macro="" textlink="">
      <xdr:nvSpPr>
        <xdr:cNvPr id="348" name="Text Box 219">
          <a:extLst>
            <a:ext uri="{FF2B5EF4-FFF2-40B4-BE49-F238E27FC236}">
              <a16:creationId xmlns:a16="http://schemas.microsoft.com/office/drawing/2014/main" id="{00000000-0008-0000-0F00-00005C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228600</xdr:rowOff>
    </xdr:to>
    <xdr:sp macro="" textlink="">
      <xdr:nvSpPr>
        <xdr:cNvPr id="349" name="Text Box 220">
          <a:extLst>
            <a:ext uri="{FF2B5EF4-FFF2-40B4-BE49-F238E27FC236}">
              <a16:creationId xmlns:a16="http://schemas.microsoft.com/office/drawing/2014/main" id="{00000000-0008-0000-0F00-00005D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228600</xdr:rowOff>
    </xdr:to>
    <xdr:sp macro="" textlink="">
      <xdr:nvSpPr>
        <xdr:cNvPr id="350" name="Text Box 221">
          <a:extLst>
            <a:ext uri="{FF2B5EF4-FFF2-40B4-BE49-F238E27FC236}">
              <a16:creationId xmlns:a16="http://schemas.microsoft.com/office/drawing/2014/main" id="{00000000-0008-0000-0F00-00005E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228600</xdr:rowOff>
    </xdr:to>
    <xdr:sp macro="" textlink="">
      <xdr:nvSpPr>
        <xdr:cNvPr id="351" name="Text Box 222">
          <a:extLst>
            <a:ext uri="{FF2B5EF4-FFF2-40B4-BE49-F238E27FC236}">
              <a16:creationId xmlns:a16="http://schemas.microsoft.com/office/drawing/2014/main" id="{00000000-0008-0000-0F00-00005F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228600</xdr:rowOff>
    </xdr:to>
    <xdr:sp macro="" textlink="">
      <xdr:nvSpPr>
        <xdr:cNvPr id="352" name="Text Box 223">
          <a:extLst>
            <a:ext uri="{FF2B5EF4-FFF2-40B4-BE49-F238E27FC236}">
              <a16:creationId xmlns:a16="http://schemas.microsoft.com/office/drawing/2014/main" id="{00000000-0008-0000-0F00-000060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114300</xdr:colOff>
      <xdr:row>19</xdr:row>
      <xdr:rowOff>229961</xdr:rowOff>
    </xdr:to>
    <xdr:sp macro="" textlink="">
      <xdr:nvSpPr>
        <xdr:cNvPr id="353" name="Text Box 224">
          <a:extLst>
            <a:ext uri="{FF2B5EF4-FFF2-40B4-BE49-F238E27FC236}">
              <a16:creationId xmlns:a16="http://schemas.microsoft.com/office/drawing/2014/main" id="{00000000-0008-0000-0F00-000061010000}"/>
            </a:ext>
          </a:extLst>
        </xdr:cNvPr>
        <xdr:cNvSpPr txBox="1">
          <a:spLocks noChangeArrowheads="1"/>
        </xdr:cNvSpPr>
      </xdr:nvSpPr>
      <xdr:spPr bwMode="auto">
        <a:xfrm>
          <a:off x="3095625" y="9153525"/>
          <a:ext cx="114300" cy="934811"/>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229961</xdr:rowOff>
    </xdr:to>
    <xdr:sp macro="" textlink="">
      <xdr:nvSpPr>
        <xdr:cNvPr id="354" name="Text Box 226">
          <a:extLst>
            <a:ext uri="{FF2B5EF4-FFF2-40B4-BE49-F238E27FC236}">
              <a16:creationId xmlns:a16="http://schemas.microsoft.com/office/drawing/2014/main" id="{00000000-0008-0000-0F00-000062010000}"/>
            </a:ext>
          </a:extLst>
        </xdr:cNvPr>
        <xdr:cNvSpPr txBox="1">
          <a:spLocks noChangeArrowheads="1"/>
        </xdr:cNvSpPr>
      </xdr:nvSpPr>
      <xdr:spPr bwMode="auto">
        <a:xfrm>
          <a:off x="3095625" y="9153525"/>
          <a:ext cx="123825" cy="934811"/>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229961</xdr:rowOff>
    </xdr:to>
    <xdr:sp macro="" textlink="">
      <xdr:nvSpPr>
        <xdr:cNvPr id="355" name="Text Box 227">
          <a:extLst>
            <a:ext uri="{FF2B5EF4-FFF2-40B4-BE49-F238E27FC236}">
              <a16:creationId xmlns:a16="http://schemas.microsoft.com/office/drawing/2014/main" id="{00000000-0008-0000-0F00-000063010000}"/>
            </a:ext>
          </a:extLst>
        </xdr:cNvPr>
        <xdr:cNvSpPr txBox="1">
          <a:spLocks noChangeArrowheads="1"/>
        </xdr:cNvSpPr>
      </xdr:nvSpPr>
      <xdr:spPr bwMode="auto">
        <a:xfrm>
          <a:off x="3095625" y="9153525"/>
          <a:ext cx="123825" cy="934811"/>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229961</xdr:rowOff>
    </xdr:to>
    <xdr:sp macro="" textlink="">
      <xdr:nvSpPr>
        <xdr:cNvPr id="356" name="Text Box 228">
          <a:extLst>
            <a:ext uri="{FF2B5EF4-FFF2-40B4-BE49-F238E27FC236}">
              <a16:creationId xmlns:a16="http://schemas.microsoft.com/office/drawing/2014/main" id="{00000000-0008-0000-0F00-000064010000}"/>
            </a:ext>
          </a:extLst>
        </xdr:cNvPr>
        <xdr:cNvSpPr txBox="1">
          <a:spLocks noChangeArrowheads="1"/>
        </xdr:cNvSpPr>
      </xdr:nvSpPr>
      <xdr:spPr bwMode="auto">
        <a:xfrm>
          <a:off x="3095625" y="9153525"/>
          <a:ext cx="123825" cy="934811"/>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229961</xdr:rowOff>
    </xdr:to>
    <xdr:sp macro="" textlink="">
      <xdr:nvSpPr>
        <xdr:cNvPr id="357" name="Text Box 229">
          <a:extLst>
            <a:ext uri="{FF2B5EF4-FFF2-40B4-BE49-F238E27FC236}">
              <a16:creationId xmlns:a16="http://schemas.microsoft.com/office/drawing/2014/main" id="{00000000-0008-0000-0F00-000065010000}"/>
            </a:ext>
          </a:extLst>
        </xdr:cNvPr>
        <xdr:cNvSpPr txBox="1">
          <a:spLocks noChangeArrowheads="1"/>
        </xdr:cNvSpPr>
      </xdr:nvSpPr>
      <xdr:spPr bwMode="auto">
        <a:xfrm>
          <a:off x="3095625" y="9153525"/>
          <a:ext cx="123825" cy="934811"/>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228600</xdr:rowOff>
    </xdr:to>
    <xdr:sp macro="" textlink="">
      <xdr:nvSpPr>
        <xdr:cNvPr id="358" name="Text Box 230">
          <a:extLst>
            <a:ext uri="{FF2B5EF4-FFF2-40B4-BE49-F238E27FC236}">
              <a16:creationId xmlns:a16="http://schemas.microsoft.com/office/drawing/2014/main" id="{00000000-0008-0000-0F00-000066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228600</xdr:rowOff>
    </xdr:to>
    <xdr:sp macro="" textlink="">
      <xdr:nvSpPr>
        <xdr:cNvPr id="359" name="Text Box 231">
          <a:extLst>
            <a:ext uri="{FF2B5EF4-FFF2-40B4-BE49-F238E27FC236}">
              <a16:creationId xmlns:a16="http://schemas.microsoft.com/office/drawing/2014/main" id="{00000000-0008-0000-0F00-000067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228600</xdr:rowOff>
    </xdr:to>
    <xdr:sp macro="" textlink="">
      <xdr:nvSpPr>
        <xdr:cNvPr id="360" name="Text Box 232">
          <a:extLst>
            <a:ext uri="{FF2B5EF4-FFF2-40B4-BE49-F238E27FC236}">
              <a16:creationId xmlns:a16="http://schemas.microsoft.com/office/drawing/2014/main" id="{00000000-0008-0000-0F00-000068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228600</xdr:rowOff>
    </xdr:to>
    <xdr:sp macro="" textlink="">
      <xdr:nvSpPr>
        <xdr:cNvPr id="361" name="Text Box 233">
          <a:extLst>
            <a:ext uri="{FF2B5EF4-FFF2-40B4-BE49-F238E27FC236}">
              <a16:creationId xmlns:a16="http://schemas.microsoft.com/office/drawing/2014/main" id="{00000000-0008-0000-0F00-000069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twoCellAnchor editAs="oneCell">
    <xdr:from>
      <xdr:col>5</xdr:col>
      <xdr:colOff>0</xdr:colOff>
      <xdr:row>18</xdr:row>
      <xdr:rowOff>0</xdr:rowOff>
    </xdr:from>
    <xdr:to>
      <xdr:col>6</xdr:col>
      <xdr:colOff>123825</xdr:colOff>
      <xdr:row>19</xdr:row>
      <xdr:rowOff>228600</xdr:rowOff>
    </xdr:to>
    <xdr:sp macro="" textlink="">
      <xdr:nvSpPr>
        <xdr:cNvPr id="362" name="Text Box 234">
          <a:extLst>
            <a:ext uri="{FF2B5EF4-FFF2-40B4-BE49-F238E27FC236}">
              <a16:creationId xmlns:a16="http://schemas.microsoft.com/office/drawing/2014/main" id="{00000000-0008-0000-0F00-00006A010000}"/>
            </a:ext>
          </a:extLst>
        </xdr:cNvPr>
        <xdr:cNvSpPr txBox="1">
          <a:spLocks noChangeArrowheads="1"/>
        </xdr:cNvSpPr>
      </xdr:nvSpPr>
      <xdr:spPr bwMode="auto">
        <a:xfrm>
          <a:off x="3095625" y="9153525"/>
          <a:ext cx="123825" cy="838200"/>
        </a:xfrm>
        <a:prstGeom prst="rect">
          <a:avLst/>
        </a:prstGeom>
        <a:noFill/>
        <a:ln w="9525">
          <a:noFill/>
          <a:miter lim="800000"/>
          <a:headEnd/>
          <a:tailEnd/>
        </a:ln>
      </xdr:spPr>
    </xdr:sp>
    <xdr:clientData/>
  </xdr:twoCellAnchor>
  <xdr:oneCellAnchor>
    <xdr:from>
      <xdr:col>4</xdr:col>
      <xdr:colOff>0</xdr:colOff>
      <xdr:row>13</xdr:row>
      <xdr:rowOff>0</xdr:rowOff>
    </xdr:from>
    <xdr:ext cx="123825" cy="831396"/>
    <xdr:sp macro="" textlink="">
      <xdr:nvSpPr>
        <xdr:cNvPr id="363" name="Text Box 197">
          <a:extLst>
            <a:ext uri="{FF2B5EF4-FFF2-40B4-BE49-F238E27FC236}">
              <a16:creationId xmlns:a16="http://schemas.microsoft.com/office/drawing/2014/main" id="{00000000-0008-0000-0F00-00006B010000}"/>
            </a:ext>
          </a:extLst>
        </xdr:cNvPr>
        <xdr:cNvSpPr txBox="1">
          <a:spLocks noChangeArrowheads="1"/>
        </xdr:cNvSpPr>
      </xdr:nvSpPr>
      <xdr:spPr bwMode="auto">
        <a:xfrm>
          <a:off x="3095625" y="5772150"/>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364" name="Text Box 198">
          <a:extLst>
            <a:ext uri="{FF2B5EF4-FFF2-40B4-BE49-F238E27FC236}">
              <a16:creationId xmlns:a16="http://schemas.microsoft.com/office/drawing/2014/main" id="{00000000-0008-0000-0F00-00006C010000}"/>
            </a:ext>
          </a:extLst>
        </xdr:cNvPr>
        <xdr:cNvSpPr txBox="1">
          <a:spLocks noChangeArrowheads="1"/>
        </xdr:cNvSpPr>
      </xdr:nvSpPr>
      <xdr:spPr bwMode="auto">
        <a:xfrm>
          <a:off x="3095625" y="5772150"/>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365" name="Text Box 199">
          <a:extLst>
            <a:ext uri="{FF2B5EF4-FFF2-40B4-BE49-F238E27FC236}">
              <a16:creationId xmlns:a16="http://schemas.microsoft.com/office/drawing/2014/main" id="{00000000-0008-0000-0F00-00006D010000}"/>
            </a:ext>
          </a:extLst>
        </xdr:cNvPr>
        <xdr:cNvSpPr txBox="1">
          <a:spLocks noChangeArrowheads="1"/>
        </xdr:cNvSpPr>
      </xdr:nvSpPr>
      <xdr:spPr bwMode="auto">
        <a:xfrm>
          <a:off x="3095625" y="5772150"/>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366" name="Text Box 200">
          <a:extLst>
            <a:ext uri="{FF2B5EF4-FFF2-40B4-BE49-F238E27FC236}">
              <a16:creationId xmlns:a16="http://schemas.microsoft.com/office/drawing/2014/main" id="{00000000-0008-0000-0F00-00006E010000}"/>
            </a:ext>
          </a:extLst>
        </xdr:cNvPr>
        <xdr:cNvSpPr txBox="1">
          <a:spLocks noChangeArrowheads="1"/>
        </xdr:cNvSpPr>
      </xdr:nvSpPr>
      <xdr:spPr bwMode="auto">
        <a:xfrm>
          <a:off x="3095625" y="5772150"/>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367" name="Text Box 201">
          <a:extLst>
            <a:ext uri="{FF2B5EF4-FFF2-40B4-BE49-F238E27FC236}">
              <a16:creationId xmlns:a16="http://schemas.microsoft.com/office/drawing/2014/main" id="{00000000-0008-0000-0F00-00006F010000}"/>
            </a:ext>
          </a:extLst>
        </xdr:cNvPr>
        <xdr:cNvSpPr txBox="1">
          <a:spLocks noChangeArrowheads="1"/>
        </xdr:cNvSpPr>
      </xdr:nvSpPr>
      <xdr:spPr bwMode="auto">
        <a:xfrm>
          <a:off x="3095625" y="5772150"/>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368" name="Text Box 202">
          <a:extLst>
            <a:ext uri="{FF2B5EF4-FFF2-40B4-BE49-F238E27FC236}">
              <a16:creationId xmlns:a16="http://schemas.microsoft.com/office/drawing/2014/main" id="{00000000-0008-0000-0F00-000070010000}"/>
            </a:ext>
          </a:extLst>
        </xdr:cNvPr>
        <xdr:cNvSpPr txBox="1">
          <a:spLocks noChangeArrowheads="1"/>
        </xdr:cNvSpPr>
      </xdr:nvSpPr>
      <xdr:spPr bwMode="auto">
        <a:xfrm>
          <a:off x="3095625" y="5772150"/>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369" name="Text Box 203">
          <a:extLst>
            <a:ext uri="{FF2B5EF4-FFF2-40B4-BE49-F238E27FC236}">
              <a16:creationId xmlns:a16="http://schemas.microsoft.com/office/drawing/2014/main" id="{00000000-0008-0000-0F00-000071010000}"/>
            </a:ext>
          </a:extLst>
        </xdr:cNvPr>
        <xdr:cNvSpPr txBox="1">
          <a:spLocks noChangeArrowheads="1"/>
        </xdr:cNvSpPr>
      </xdr:nvSpPr>
      <xdr:spPr bwMode="auto">
        <a:xfrm>
          <a:off x="3095625" y="5772150"/>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370" name="Text Box 204">
          <a:extLst>
            <a:ext uri="{FF2B5EF4-FFF2-40B4-BE49-F238E27FC236}">
              <a16:creationId xmlns:a16="http://schemas.microsoft.com/office/drawing/2014/main" id="{00000000-0008-0000-0F00-000072010000}"/>
            </a:ext>
          </a:extLst>
        </xdr:cNvPr>
        <xdr:cNvSpPr txBox="1">
          <a:spLocks noChangeArrowheads="1"/>
        </xdr:cNvSpPr>
      </xdr:nvSpPr>
      <xdr:spPr bwMode="auto">
        <a:xfrm>
          <a:off x="3095625" y="5772150"/>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14300" cy="945696"/>
    <xdr:sp macro="" textlink="">
      <xdr:nvSpPr>
        <xdr:cNvPr id="371" name="Text Box 205">
          <a:extLst>
            <a:ext uri="{FF2B5EF4-FFF2-40B4-BE49-F238E27FC236}">
              <a16:creationId xmlns:a16="http://schemas.microsoft.com/office/drawing/2014/main" id="{00000000-0008-0000-0F00-000073010000}"/>
            </a:ext>
          </a:extLst>
        </xdr:cNvPr>
        <xdr:cNvSpPr txBox="1">
          <a:spLocks noChangeArrowheads="1"/>
        </xdr:cNvSpPr>
      </xdr:nvSpPr>
      <xdr:spPr bwMode="auto">
        <a:xfrm>
          <a:off x="3095625" y="5772150"/>
          <a:ext cx="114300" cy="945696"/>
        </a:xfrm>
        <a:prstGeom prst="rect">
          <a:avLst/>
        </a:prstGeom>
        <a:noFill/>
        <a:ln w="9525">
          <a:noFill/>
          <a:miter lim="800000"/>
          <a:headEnd/>
          <a:tailEnd/>
        </a:ln>
      </xdr:spPr>
    </xdr:sp>
    <xdr:clientData/>
  </xdr:oneCellAnchor>
  <xdr:oneCellAnchor>
    <xdr:from>
      <xdr:col>4</xdr:col>
      <xdr:colOff>0</xdr:colOff>
      <xdr:row>13</xdr:row>
      <xdr:rowOff>0</xdr:rowOff>
    </xdr:from>
    <xdr:ext cx="114300" cy="945696"/>
    <xdr:sp macro="" textlink="">
      <xdr:nvSpPr>
        <xdr:cNvPr id="372" name="Text Box 206">
          <a:extLst>
            <a:ext uri="{FF2B5EF4-FFF2-40B4-BE49-F238E27FC236}">
              <a16:creationId xmlns:a16="http://schemas.microsoft.com/office/drawing/2014/main" id="{00000000-0008-0000-0F00-000074010000}"/>
            </a:ext>
          </a:extLst>
        </xdr:cNvPr>
        <xdr:cNvSpPr txBox="1">
          <a:spLocks noChangeArrowheads="1"/>
        </xdr:cNvSpPr>
      </xdr:nvSpPr>
      <xdr:spPr bwMode="auto">
        <a:xfrm>
          <a:off x="3095625" y="5772150"/>
          <a:ext cx="114300" cy="945696"/>
        </a:xfrm>
        <a:prstGeom prst="rect">
          <a:avLst/>
        </a:prstGeom>
        <a:noFill/>
        <a:ln w="9525">
          <a:noFill/>
          <a:miter lim="800000"/>
          <a:headEnd/>
          <a:tailEnd/>
        </a:ln>
      </xdr:spPr>
    </xdr:sp>
    <xdr:clientData/>
  </xdr:oneCellAnchor>
  <xdr:oneCellAnchor>
    <xdr:from>
      <xdr:col>4</xdr:col>
      <xdr:colOff>0</xdr:colOff>
      <xdr:row>13</xdr:row>
      <xdr:rowOff>0</xdr:rowOff>
    </xdr:from>
    <xdr:ext cx="123825" cy="945696"/>
    <xdr:sp macro="" textlink="">
      <xdr:nvSpPr>
        <xdr:cNvPr id="373" name="Text Box 207">
          <a:extLst>
            <a:ext uri="{FF2B5EF4-FFF2-40B4-BE49-F238E27FC236}">
              <a16:creationId xmlns:a16="http://schemas.microsoft.com/office/drawing/2014/main" id="{00000000-0008-0000-0F00-000075010000}"/>
            </a:ext>
          </a:extLst>
        </xdr:cNvPr>
        <xdr:cNvSpPr txBox="1">
          <a:spLocks noChangeArrowheads="1"/>
        </xdr:cNvSpPr>
      </xdr:nvSpPr>
      <xdr:spPr bwMode="auto">
        <a:xfrm>
          <a:off x="3095625" y="5772150"/>
          <a:ext cx="123825" cy="945696"/>
        </a:xfrm>
        <a:prstGeom prst="rect">
          <a:avLst/>
        </a:prstGeom>
        <a:noFill/>
        <a:ln w="9525">
          <a:noFill/>
          <a:miter lim="800000"/>
          <a:headEnd/>
          <a:tailEnd/>
        </a:ln>
      </xdr:spPr>
    </xdr:sp>
    <xdr:clientData/>
  </xdr:oneCellAnchor>
  <xdr:oneCellAnchor>
    <xdr:from>
      <xdr:col>4</xdr:col>
      <xdr:colOff>0</xdr:colOff>
      <xdr:row>13</xdr:row>
      <xdr:rowOff>0</xdr:rowOff>
    </xdr:from>
    <xdr:ext cx="123825" cy="945696"/>
    <xdr:sp macro="" textlink="">
      <xdr:nvSpPr>
        <xdr:cNvPr id="374" name="Text Box 208">
          <a:extLst>
            <a:ext uri="{FF2B5EF4-FFF2-40B4-BE49-F238E27FC236}">
              <a16:creationId xmlns:a16="http://schemas.microsoft.com/office/drawing/2014/main" id="{00000000-0008-0000-0F00-000076010000}"/>
            </a:ext>
          </a:extLst>
        </xdr:cNvPr>
        <xdr:cNvSpPr txBox="1">
          <a:spLocks noChangeArrowheads="1"/>
        </xdr:cNvSpPr>
      </xdr:nvSpPr>
      <xdr:spPr bwMode="auto">
        <a:xfrm>
          <a:off x="3095625" y="5772150"/>
          <a:ext cx="123825" cy="945696"/>
        </a:xfrm>
        <a:prstGeom prst="rect">
          <a:avLst/>
        </a:prstGeom>
        <a:noFill/>
        <a:ln w="9525">
          <a:noFill/>
          <a:miter lim="800000"/>
          <a:headEnd/>
          <a:tailEnd/>
        </a:ln>
      </xdr:spPr>
    </xdr:sp>
    <xdr:clientData/>
  </xdr:oneCellAnchor>
  <xdr:oneCellAnchor>
    <xdr:from>
      <xdr:col>4</xdr:col>
      <xdr:colOff>0</xdr:colOff>
      <xdr:row>13</xdr:row>
      <xdr:rowOff>0</xdr:rowOff>
    </xdr:from>
    <xdr:ext cx="123825" cy="945696"/>
    <xdr:sp macro="" textlink="">
      <xdr:nvSpPr>
        <xdr:cNvPr id="375" name="Text Box 209">
          <a:extLst>
            <a:ext uri="{FF2B5EF4-FFF2-40B4-BE49-F238E27FC236}">
              <a16:creationId xmlns:a16="http://schemas.microsoft.com/office/drawing/2014/main" id="{00000000-0008-0000-0F00-000077010000}"/>
            </a:ext>
          </a:extLst>
        </xdr:cNvPr>
        <xdr:cNvSpPr txBox="1">
          <a:spLocks noChangeArrowheads="1"/>
        </xdr:cNvSpPr>
      </xdr:nvSpPr>
      <xdr:spPr bwMode="auto">
        <a:xfrm>
          <a:off x="3095625" y="5772150"/>
          <a:ext cx="123825" cy="945696"/>
        </a:xfrm>
        <a:prstGeom prst="rect">
          <a:avLst/>
        </a:prstGeom>
        <a:noFill/>
        <a:ln w="9525">
          <a:noFill/>
          <a:miter lim="800000"/>
          <a:headEnd/>
          <a:tailEnd/>
        </a:ln>
      </xdr:spPr>
    </xdr:sp>
    <xdr:clientData/>
  </xdr:oneCellAnchor>
  <xdr:oneCellAnchor>
    <xdr:from>
      <xdr:col>4</xdr:col>
      <xdr:colOff>0</xdr:colOff>
      <xdr:row>13</xdr:row>
      <xdr:rowOff>0</xdr:rowOff>
    </xdr:from>
    <xdr:ext cx="123825" cy="945696"/>
    <xdr:sp macro="" textlink="">
      <xdr:nvSpPr>
        <xdr:cNvPr id="376" name="Text Box 210">
          <a:extLst>
            <a:ext uri="{FF2B5EF4-FFF2-40B4-BE49-F238E27FC236}">
              <a16:creationId xmlns:a16="http://schemas.microsoft.com/office/drawing/2014/main" id="{00000000-0008-0000-0F00-000078010000}"/>
            </a:ext>
          </a:extLst>
        </xdr:cNvPr>
        <xdr:cNvSpPr txBox="1">
          <a:spLocks noChangeArrowheads="1"/>
        </xdr:cNvSpPr>
      </xdr:nvSpPr>
      <xdr:spPr bwMode="auto">
        <a:xfrm>
          <a:off x="3095625" y="5772150"/>
          <a:ext cx="123825" cy="9456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377" name="Text Box 211">
          <a:extLst>
            <a:ext uri="{FF2B5EF4-FFF2-40B4-BE49-F238E27FC236}">
              <a16:creationId xmlns:a16="http://schemas.microsoft.com/office/drawing/2014/main" id="{00000000-0008-0000-0F00-000079010000}"/>
            </a:ext>
          </a:extLst>
        </xdr:cNvPr>
        <xdr:cNvSpPr txBox="1">
          <a:spLocks noChangeArrowheads="1"/>
        </xdr:cNvSpPr>
      </xdr:nvSpPr>
      <xdr:spPr bwMode="auto">
        <a:xfrm>
          <a:off x="3095625" y="5772150"/>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378" name="Text Box 212">
          <a:extLst>
            <a:ext uri="{FF2B5EF4-FFF2-40B4-BE49-F238E27FC236}">
              <a16:creationId xmlns:a16="http://schemas.microsoft.com/office/drawing/2014/main" id="{00000000-0008-0000-0F00-00007A010000}"/>
            </a:ext>
          </a:extLst>
        </xdr:cNvPr>
        <xdr:cNvSpPr txBox="1">
          <a:spLocks noChangeArrowheads="1"/>
        </xdr:cNvSpPr>
      </xdr:nvSpPr>
      <xdr:spPr bwMode="auto">
        <a:xfrm>
          <a:off x="3095625" y="5772150"/>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379" name="Text Box 213">
          <a:extLst>
            <a:ext uri="{FF2B5EF4-FFF2-40B4-BE49-F238E27FC236}">
              <a16:creationId xmlns:a16="http://schemas.microsoft.com/office/drawing/2014/main" id="{00000000-0008-0000-0F00-00007B010000}"/>
            </a:ext>
          </a:extLst>
        </xdr:cNvPr>
        <xdr:cNvSpPr txBox="1">
          <a:spLocks noChangeArrowheads="1"/>
        </xdr:cNvSpPr>
      </xdr:nvSpPr>
      <xdr:spPr bwMode="auto">
        <a:xfrm>
          <a:off x="3095625" y="5772150"/>
          <a:ext cx="123825" cy="831396"/>
        </a:xfrm>
        <a:prstGeom prst="rect">
          <a:avLst/>
        </a:prstGeom>
        <a:noFill/>
        <a:ln w="9525">
          <a:noFill/>
          <a:miter lim="800000"/>
          <a:headEnd/>
          <a:tailEnd/>
        </a:ln>
      </xdr:spPr>
    </xdr:sp>
    <xdr:clientData/>
  </xdr:oneCellAnchor>
  <xdr:oneCellAnchor>
    <xdr:from>
      <xdr:col>4</xdr:col>
      <xdr:colOff>0</xdr:colOff>
      <xdr:row>13</xdr:row>
      <xdr:rowOff>0</xdr:rowOff>
    </xdr:from>
    <xdr:ext cx="123825" cy="831396"/>
    <xdr:sp macro="" textlink="">
      <xdr:nvSpPr>
        <xdr:cNvPr id="380" name="Text Box 214">
          <a:extLst>
            <a:ext uri="{FF2B5EF4-FFF2-40B4-BE49-F238E27FC236}">
              <a16:creationId xmlns:a16="http://schemas.microsoft.com/office/drawing/2014/main" id="{00000000-0008-0000-0F00-00007C010000}"/>
            </a:ext>
          </a:extLst>
        </xdr:cNvPr>
        <xdr:cNvSpPr txBox="1">
          <a:spLocks noChangeArrowheads="1"/>
        </xdr:cNvSpPr>
      </xdr:nvSpPr>
      <xdr:spPr bwMode="auto">
        <a:xfrm>
          <a:off x="3095625" y="5772150"/>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381" name="Text Box 197">
          <a:extLst>
            <a:ext uri="{FF2B5EF4-FFF2-40B4-BE49-F238E27FC236}">
              <a16:creationId xmlns:a16="http://schemas.microsoft.com/office/drawing/2014/main" id="{00000000-0008-0000-0F00-00007D010000}"/>
            </a:ext>
          </a:extLst>
        </xdr:cNvPr>
        <xdr:cNvSpPr txBox="1">
          <a:spLocks noChangeArrowheads="1"/>
        </xdr:cNvSpPr>
      </xdr:nvSpPr>
      <xdr:spPr bwMode="auto">
        <a:xfrm>
          <a:off x="5610225" y="5772150"/>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382" name="Text Box 198">
          <a:extLst>
            <a:ext uri="{FF2B5EF4-FFF2-40B4-BE49-F238E27FC236}">
              <a16:creationId xmlns:a16="http://schemas.microsoft.com/office/drawing/2014/main" id="{00000000-0008-0000-0F00-00007E010000}"/>
            </a:ext>
          </a:extLst>
        </xdr:cNvPr>
        <xdr:cNvSpPr txBox="1">
          <a:spLocks noChangeArrowheads="1"/>
        </xdr:cNvSpPr>
      </xdr:nvSpPr>
      <xdr:spPr bwMode="auto">
        <a:xfrm>
          <a:off x="5610225" y="5772150"/>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383" name="Text Box 199">
          <a:extLst>
            <a:ext uri="{FF2B5EF4-FFF2-40B4-BE49-F238E27FC236}">
              <a16:creationId xmlns:a16="http://schemas.microsoft.com/office/drawing/2014/main" id="{00000000-0008-0000-0F00-00007F010000}"/>
            </a:ext>
          </a:extLst>
        </xdr:cNvPr>
        <xdr:cNvSpPr txBox="1">
          <a:spLocks noChangeArrowheads="1"/>
        </xdr:cNvSpPr>
      </xdr:nvSpPr>
      <xdr:spPr bwMode="auto">
        <a:xfrm>
          <a:off x="5610225" y="5772150"/>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384" name="Text Box 200">
          <a:extLst>
            <a:ext uri="{FF2B5EF4-FFF2-40B4-BE49-F238E27FC236}">
              <a16:creationId xmlns:a16="http://schemas.microsoft.com/office/drawing/2014/main" id="{00000000-0008-0000-0F00-000080010000}"/>
            </a:ext>
          </a:extLst>
        </xdr:cNvPr>
        <xdr:cNvSpPr txBox="1">
          <a:spLocks noChangeArrowheads="1"/>
        </xdr:cNvSpPr>
      </xdr:nvSpPr>
      <xdr:spPr bwMode="auto">
        <a:xfrm>
          <a:off x="5610225" y="5772150"/>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385" name="Text Box 201">
          <a:extLst>
            <a:ext uri="{FF2B5EF4-FFF2-40B4-BE49-F238E27FC236}">
              <a16:creationId xmlns:a16="http://schemas.microsoft.com/office/drawing/2014/main" id="{00000000-0008-0000-0F00-000081010000}"/>
            </a:ext>
          </a:extLst>
        </xdr:cNvPr>
        <xdr:cNvSpPr txBox="1">
          <a:spLocks noChangeArrowheads="1"/>
        </xdr:cNvSpPr>
      </xdr:nvSpPr>
      <xdr:spPr bwMode="auto">
        <a:xfrm>
          <a:off x="5610225" y="5772150"/>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386" name="Text Box 202">
          <a:extLst>
            <a:ext uri="{FF2B5EF4-FFF2-40B4-BE49-F238E27FC236}">
              <a16:creationId xmlns:a16="http://schemas.microsoft.com/office/drawing/2014/main" id="{00000000-0008-0000-0F00-000082010000}"/>
            </a:ext>
          </a:extLst>
        </xdr:cNvPr>
        <xdr:cNvSpPr txBox="1">
          <a:spLocks noChangeArrowheads="1"/>
        </xdr:cNvSpPr>
      </xdr:nvSpPr>
      <xdr:spPr bwMode="auto">
        <a:xfrm>
          <a:off x="5610225" y="5772150"/>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387" name="Text Box 203">
          <a:extLst>
            <a:ext uri="{FF2B5EF4-FFF2-40B4-BE49-F238E27FC236}">
              <a16:creationId xmlns:a16="http://schemas.microsoft.com/office/drawing/2014/main" id="{00000000-0008-0000-0F00-000083010000}"/>
            </a:ext>
          </a:extLst>
        </xdr:cNvPr>
        <xdr:cNvSpPr txBox="1">
          <a:spLocks noChangeArrowheads="1"/>
        </xdr:cNvSpPr>
      </xdr:nvSpPr>
      <xdr:spPr bwMode="auto">
        <a:xfrm>
          <a:off x="5610225" y="5772150"/>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388" name="Text Box 204">
          <a:extLst>
            <a:ext uri="{FF2B5EF4-FFF2-40B4-BE49-F238E27FC236}">
              <a16:creationId xmlns:a16="http://schemas.microsoft.com/office/drawing/2014/main" id="{00000000-0008-0000-0F00-000084010000}"/>
            </a:ext>
          </a:extLst>
        </xdr:cNvPr>
        <xdr:cNvSpPr txBox="1">
          <a:spLocks noChangeArrowheads="1"/>
        </xdr:cNvSpPr>
      </xdr:nvSpPr>
      <xdr:spPr bwMode="auto">
        <a:xfrm>
          <a:off x="5610225" y="5772150"/>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14300" cy="945696"/>
    <xdr:sp macro="" textlink="">
      <xdr:nvSpPr>
        <xdr:cNvPr id="389" name="Text Box 205">
          <a:extLst>
            <a:ext uri="{FF2B5EF4-FFF2-40B4-BE49-F238E27FC236}">
              <a16:creationId xmlns:a16="http://schemas.microsoft.com/office/drawing/2014/main" id="{00000000-0008-0000-0F00-000085010000}"/>
            </a:ext>
          </a:extLst>
        </xdr:cNvPr>
        <xdr:cNvSpPr txBox="1">
          <a:spLocks noChangeArrowheads="1"/>
        </xdr:cNvSpPr>
      </xdr:nvSpPr>
      <xdr:spPr bwMode="auto">
        <a:xfrm>
          <a:off x="5610225" y="5772150"/>
          <a:ext cx="114300" cy="945696"/>
        </a:xfrm>
        <a:prstGeom prst="rect">
          <a:avLst/>
        </a:prstGeom>
        <a:noFill/>
        <a:ln w="9525">
          <a:noFill/>
          <a:miter lim="800000"/>
          <a:headEnd/>
          <a:tailEnd/>
        </a:ln>
      </xdr:spPr>
    </xdr:sp>
    <xdr:clientData/>
  </xdr:oneCellAnchor>
  <xdr:oneCellAnchor>
    <xdr:from>
      <xdr:col>8</xdr:col>
      <xdr:colOff>0</xdr:colOff>
      <xdr:row>13</xdr:row>
      <xdr:rowOff>0</xdr:rowOff>
    </xdr:from>
    <xdr:ext cx="114300" cy="945696"/>
    <xdr:sp macro="" textlink="">
      <xdr:nvSpPr>
        <xdr:cNvPr id="390" name="Text Box 206">
          <a:extLst>
            <a:ext uri="{FF2B5EF4-FFF2-40B4-BE49-F238E27FC236}">
              <a16:creationId xmlns:a16="http://schemas.microsoft.com/office/drawing/2014/main" id="{00000000-0008-0000-0F00-000086010000}"/>
            </a:ext>
          </a:extLst>
        </xdr:cNvPr>
        <xdr:cNvSpPr txBox="1">
          <a:spLocks noChangeArrowheads="1"/>
        </xdr:cNvSpPr>
      </xdr:nvSpPr>
      <xdr:spPr bwMode="auto">
        <a:xfrm>
          <a:off x="5610225" y="5772150"/>
          <a:ext cx="114300" cy="945696"/>
        </a:xfrm>
        <a:prstGeom prst="rect">
          <a:avLst/>
        </a:prstGeom>
        <a:noFill/>
        <a:ln w="9525">
          <a:noFill/>
          <a:miter lim="800000"/>
          <a:headEnd/>
          <a:tailEnd/>
        </a:ln>
      </xdr:spPr>
    </xdr:sp>
    <xdr:clientData/>
  </xdr:oneCellAnchor>
  <xdr:oneCellAnchor>
    <xdr:from>
      <xdr:col>8</xdr:col>
      <xdr:colOff>0</xdr:colOff>
      <xdr:row>13</xdr:row>
      <xdr:rowOff>0</xdr:rowOff>
    </xdr:from>
    <xdr:ext cx="123825" cy="945696"/>
    <xdr:sp macro="" textlink="">
      <xdr:nvSpPr>
        <xdr:cNvPr id="391" name="Text Box 207">
          <a:extLst>
            <a:ext uri="{FF2B5EF4-FFF2-40B4-BE49-F238E27FC236}">
              <a16:creationId xmlns:a16="http://schemas.microsoft.com/office/drawing/2014/main" id="{00000000-0008-0000-0F00-000087010000}"/>
            </a:ext>
          </a:extLst>
        </xdr:cNvPr>
        <xdr:cNvSpPr txBox="1">
          <a:spLocks noChangeArrowheads="1"/>
        </xdr:cNvSpPr>
      </xdr:nvSpPr>
      <xdr:spPr bwMode="auto">
        <a:xfrm>
          <a:off x="5610225" y="5772150"/>
          <a:ext cx="123825" cy="945696"/>
        </a:xfrm>
        <a:prstGeom prst="rect">
          <a:avLst/>
        </a:prstGeom>
        <a:noFill/>
        <a:ln w="9525">
          <a:noFill/>
          <a:miter lim="800000"/>
          <a:headEnd/>
          <a:tailEnd/>
        </a:ln>
      </xdr:spPr>
    </xdr:sp>
    <xdr:clientData/>
  </xdr:oneCellAnchor>
  <xdr:oneCellAnchor>
    <xdr:from>
      <xdr:col>8</xdr:col>
      <xdr:colOff>0</xdr:colOff>
      <xdr:row>13</xdr:row>
      <xdr:rowOff>0</xdr:rowOff>
    </xdr:from>
    <xdr:ext cx="123825" cy="945696"/>
    <xdr:sp macro="" textlink="">
      <xdr:nvSpPr>
        <xdr:cNvPr id="392" name="Text Box 208">
          <a:extLst>
            <a:ext uri="{FF2B5EF4-FFF2-40B4-BE49-F238E27FC236}">
              <a16:creationId xmlns:a16="http://schemas.microsoft.com/office/drawing/2014/main" id="{00000000-0008-0000-0F00-000088010000}"/>
            </a:ext>
          </a:extLst>
        </xdr:cNvPr>
        <xdr:cNvSpPr txBox="1">
          <a:spLocks noChangeArrowheads="1"/>
        </xdr:cNvSpPr>
      </xdr:nvSpPr>
      <xdr:spPr bwMode="auto">
        <a:xfrm>
          <a:off x="5610225" y="5772150"/>
          <a:ext cx="123825" cy="945696"/>
        </a:xfrm>
        <a:prstGeom prst="rect">
          <a:avLst/>
        </a:prstGeom>
        <a:noFill/>
        <a:ln w="9525">
          <a:noFill/>
          <a:miter lim="800000"/>
          <a:headEnd/>
          <a:tailEnd/>
        </a:ln>
      </xdr:spPr>
    </xdr:sp>
    <xdr:clientData/>
  </xdr:oneCellAnchor>
  <xdr:oneCellAnchor>
    <xdr:from>
      <xdr:col>8</xdr:col>
      <xdr:colOff>0</xdr:colOff>
      <xdr:row>13</xdr:row>
      <xdr:rowOff>0</xdr:rowOff>
    </xdr:from>
    <xdr:ext cx="123825" cy="945696"/>
    <xdr:sp macro="" textlink="">
      <xdr:nvSpPr>
        <xdr:cNvPr id="393" name="Text Box 209">
          <a:extLst>
            <a:ext uri="{FF2B5EF4-FFF2-40B4-BE49-F238E27FC236}">
              <a16:creationId xmlns:a16="http://schemas.microsoft.com/office/drawing/2014/main" id="{00000000-0008-0000-0F00-000089010000}"/>
            </a:ext>
          </a:extLst>
        </xdr:cNvPr>
        <xdr:cNvSpPr txBox="1">
          <a:spLocks noChangeArrowheads="1"/>
        </xdr:cNvSpPr>
      </xdr:nvSpPr>
      <xdr:spPr bwMode="auto">
        <a:xfrm>
          <a:off x="5610225" y="5772150"/>
          <a:ext cx="123825" cy="945696"/>
        </a:xfrm>
        <a:prstGeom prst="rect">
          <a:avLst/>
        </a:prstGeom>
        <a:noFill/>
        <a:ln w="9525">
          <a:noFill/>
          <a:miter lim="800000"/>
          <a:headEnd/>
          <a:tailEnd/>
        </a:ln>
      </xdr:spPr>
    </xdr:sp>
    <xdr:clientData/>
  </xdr:oneCellAnchor>
  <xdr:oneCellAnchor>
    <xdr:from>
      <xdr:col>8</xdr:col>
      <xdr:colOff>0</xdr:colOff>
      <xdr:row>13</xdr:row>
      <xdr:rowOff>0</xdr:rowOff>
    </xdr:from>
    <xdr:ext cx="123825" cy="945696"/>
    <xdr:sp macro="" textlink="">
      <xdr:nvSpPr>
        <xdr:cNvPr id="394" name="Text Box 210">
          <a:extLst>
            <a:ext uri="{FF2B5EF4-FFF2-40B4-BE49-F238E27FC236}">
              <a16:creationId xmlns:a16="http://schemas.microsoft.com/office/drawing/2014/main" id="{00000000-0008-0000-0F00-00008A010000}"/>
            </a:ext>
          </a:extLst>
        </xdr:cNvPr>
        <xdr:cNvSpPr txBox="1">
          <a:spLocks noChangeArrowheads="1"/>
        </xdr:cNvSpPr>
      </xdr:nvSpPr>
      <xdr:spPr bwMode="auto">
        <a:xfrm>
          <a:off x="5610225" y="5772150"/>
          <a:ext cx="123825" cy="9456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395" name="Text Box 211">
          <a:extLst>
            <a:ext uri="{FF2B5EF4-FFF2-40B4-BE49-F238E27FC236}">
              <a16:creationId xmlns:a16="http://schemas.microsoft.com/office/drawing/2014/main" id="{00000000-0008-0000-0F00-00008B010000}"/>
            </a:ext>
          </a:extLst>
        </xdr:cNvPr>
        <xdr:cNvSpPr txBox="1">
          <a:spLocks noChangeArrowheads="1"/>
        </xdr:cNvSpPr>
      </xdr:nvSpPr>
      <xdr:spPr bwMode="auto">
        <a:xfrm>
          <a:off x="5610225" y="5772150"/>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396" name="Text Box 212">
          <a:extLst>
            <a:ext uri="{FF2B5EF4-FFF2-40B4-BE49-F238E27FC236}">
              <a16:creationId xmlns:a16="http://schemas.microsoft.com/office/drawing/2014/main" id="{00000000-0008-0000-0F00-00008C010000}"/>
            </a:ext>
          </a:extLst>
        </xdr:cNvPr>
        <xdr:cNvSpPr txBox="1">
          <a:spLocks noChangeArrowheads="1"/>
        </xdr:cNvSpPr>
      </xdr:nvSpPr>
      <xdr:spPr bwMode="auto">
        <a:xfrm>
          <a:off x="5610225" y="5772150"/>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397" name="Text Box 213">
          <a:extLst>
            <a:ext uri="{FF2B5EF4-FFF2-40B4-BE49-F238E27FC236}">
              <a16:creationId xmlns:a16="http://schemas.microsoft.com/office/drawing/2014/main" id="{00000000-0008-0000-0F00-00008D010000}"/>
            </a:ext>
          </a:extLst>
        </xdr:cNvPr>
        <xdr:cNvSpPr txBox="1">
          <a:spLocks noChangeArrowheads="1"/>
        </xdr:cNvSpPr>
      </xdr:nvSpPr>
      <xdr:spPr bwMode="auto">
        <a:xfrm>
          <a:off x="5610225" y="5772150"/>
          <a:ext cx="123825" cy="831396"/>
        </a:xfrm>
        <a:prstGeom prst="rect">
          <a:avLst/>
        </a:prstGeom>
        <a:noFill/>
        <a:ln w="9525">
          <a:noFill/>
          <a:miter lim="800000"/>
          <a:headEnd/>
          <a:tailEnd/>
        </a:ln>
      </xdr:spPr>
    </xdr:sp>
    <xdr:clientData/>
  </xdr:oneCellAnchor>
  <xdr:oneCellAnchor>
    <xdr:from>
      <xdr:col>8</xdr:col>
      <xdr:colOff>0</xdr:colOff>
      <xdr:row>13</xdr:row>
      <xdr:rowOff>0</xdr:rowOff>
    </xdr:from>
    <xdr:ext cx="123825" cy="831396"/>
    <xdr:sp macro="" textlink="">
      <xdr:nvSpPr>
        <xdr:cNvPr id="398" name="Text Box 214">
          <a:extLst>
            <a:ext uri="{FF2B5EF4-FFF2-40B4-BE49-F238E27FC236}">
              <a16:creationId xmlns:a16="http://schemas.microsoft.com/office/drawing/2014/main" id="{00000000-0008-0000-0F00-00008E010000}"/>
            </a:ext>
          </a:extLst>
        </xdr:cNvPr>
        <xdr:cNvSpPr txBox="1">
          <a:spLocks noChangeArrowheads="1"/>
        </xdr:cNvSpPr>
      </xdr:nvSpPr>
      <xdr:spPr bwMode="auto">
        <a:xfrm>
          <a:off x="5610225" y="5772150"/>
          <a:ext cx="123825" cy="831396"/>
        </a:xfrm>
        <a:prstGeom prst="rect">
          <a:avLst/>
        </a:prstGeom>
        <a:noFill/>
        <a:ln w="9525">
          <a:noFill/>
          <a:miter lim="800000"/>
          <a:headEnd/>
          <a:tailEnd/>
        </a:ln>
      </xdr:spPr>
    </xdr:sp>
    <xdr:clientData/>
  </xdr:oneCellAnchor>
  <xdr:oneCellAnchor>
    <xdr:from>
      <xdr:col>1</xdr:col>
      <xdr:colOff>1676400</xdr:colOff>
      <xdr:row>23</xdr:row>
      <xdr:rowOff>0</xdr:rowOff>
    </xdr:from>
    <xdr:ext cx="123825" cy="834118"/>
    <xdr:sp macro="" textlink="">
      <xdr:nvSpPr>
        <xdr:cNvPr id="399" name="Text Box 134">
          <a:extLst>
            <a:ext uri="{FF2B5EF4-FFF2-40B4-BE49-F238E27FC236}">
              <a16:creationId xmlns:a16="http://schemas.microsoft.com/office/drawing/2014/main" id="{00000000-0008-0000-0F00-00008F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834118"/>
    <xdr:sp macro="" textlink="">
      <xdr:nvSpPr>
        <xdr:cNvPr id="400" name="Text Box 135">
          <a:extLst>
            <a:ext uri="{FF2B5EF4-FFF2-40B4-BE49-F238E27FC236}">
              <a16:creationId xmlns:a16="http://schemas.microsoft.com/office/drawing/2014/main" id="{00000000-0008-0000-0F00-000090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834118"/>
    <xdr:sp macro="" textlink="">
      <xdr:nvSpPr>
        <xdr:cNvPr id="401" name="Text Box 142">
          <a:extLst>
            <a:ext uri="{FF2B5EF4-FFF2-40B4-BE49-F238E27FC236}">
              <a16:creationId xmlns:a16="http://schemas.microsoft.com/office/drawing/2014/main" id="{00000000-0008-0000-0F00-000091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834118"/>
    <xdr:sp macro="" textlink="">
      <xdr:nvSpPr>
        <xdr:cNvPr id="402" name="Text Box 143">
          <a:extLst>
            <a:ext uri="{FF2B5EF4-FFF2-40B4-BE49-F238E27FC236}">
              <a16:creationId xmlns:a16="http://schemas.microsoft.com/office/drawing/2014/main" id="{00000000-0008-0000-0F00-000092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834118"/>
    <xdr:sp macro="" textlink="">
      <xdr:nvSpPr>
        <xdr:cNvPr id="403" name="Text Box 144">
          <a:extLst>
            <a:ext uri="{FF2B5EF4-FFF2-40B4-BE49-F238E27FC236}">
              <a16:creationId xmlns:a16="http://schemas.microsoft.com/office/drawing/2014/main" id="{00000000-0008-0000-0F00-000093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834118"/>
    <xdr:sp macro="" textlink="">
      <xdr:nvSpPr>
        <xdr:cNvPr id="404" name="Text Box 145">
          <a:extLst>
            <a:ext uri="{FF2B5EF4-FFF2-40B4-BE49-F238E27FC236}">
              <a16:creationId xmlns:a16="http://schemas.microsoft.com/office/drawing/2014/main" id="{00000000-0008-0000-0F00-000094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834118"/>
    <xdr:sp macro="" textlink="">
      <xdr:nvSpPr>
        <xdr:cNvPr id="405" name="Text Box 146">
          <a:extLst>
            <a:ext uri="{FF2B5EF4-FFF2-40B4-BE49-F238E27FC236}">
              <a16:creationId xmlns:a16="http://schemas.microsoft.com/office/drawing/2014/main" id="{00000000-0008-0000-0F00-000095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834118"/>
    <xdr:sp macro="" textlink="">
      <xdr:nvSpPr>
        <xdr:cNvPr id="406" name="Text Box 147">
          <a:extLst>
            <a:ext uri="{FF2B5EF4-FFF2-40B4-BE49-F238E27FC236}">
              <a16:creationId xmlns:a16="http://schemas.microsoft.com/office/drawing/2014/main" id="{00000000-0008-0000-0F00-000096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1</xdr:col>
      <xdr:colOff>1685925</xdr:colOff>
      <xdr:row>23</xdr:row>
      <xdr:rowOff>0</xdr:rowOff>
    </xdr:from>
    <xdr:ext cx="114300" cy="929368"/>
    <xdr:sp macro="" textlink="">
      <xdr:nvSpPr>
        <xdr:cNvPr id="407" name="Text Box 136">
          <a:extLst>
            <a:ext uri="{FF2B5EF4-FFF2-40B4-BE49-F238E27FC236}">
              <a16:creationId xmlns:a16="http://schemas.microsoft.com/office/drawing/2014/main" id="{00000000-0008-0000-0F00-000097010000}"/>
            </a:ext>
          </a:extLst>
        </xdr:cNvPr>
        <xdr:cNvSpPr txBox="1">
          <a:spLocks noChangeArrowheads="1"/>
        </xdr:cNvSpPr>
      </xdr:nvSpPr>
      <xdr:spPr bwMode="auto">
        <a:xfrm>
          <a:off x="3095625" y="10315575"/>
          <a:ext cx="114300" cy="929368"/>
        </a:xfrm>
        <a:prstGeom prst="rect">
          <a:avLst/>
        </a:prstGeom>
        <a:noFill/>
        <a:ln w="9525">
          <a:noFill/>
          <a:miter lim="800000"/>
          <a:headEnd/>
          <a:tailEnd/>
        </a:ln>
      </xdr:spPr>
    </xdr:sp>
    <xdr:clientData/>
  </xdr:oneCellAnchor>
  <xdr:oneCellAnchor>
    <xdr:from>
      <xdr:col>1</xdr:col>
      <xdr:colOff>1685925</xdr:colOff>
      <xdr:row>23</xdr:row>
      <xdr:rowOff>0</xdr:rowOff>
    </xdr:from>
    <xdr:ext cx="114300" cy="929368"/>
    <xdr:sp macro="" textlink="">
      <xdr:nvSpPr>
        <xdr:cNvPr id="408" name="Text Box 137">
          <a:extLst>
            <a:ext uri="{FF2B5EF4-FFF2-40B4-BE49-F238E27FC236}">
              <a16:creationId xmlns:a16="http://schemas.microsoft.com/office/drawing/2014/main" id="{00000000-0008-0000-0F00-000098010000}"/>
            </a:ext>
          </a:extLst>
        </xdr:cNvPr>
        <xdr:cNvSpPr txBox="1">
          <a:spLocks noChangeArrowheads="1"/>
        </xdr:cNvSpPr>
      </xdr:nvSpPr>
      <xdr:spPr bwMode="auto">
        <a:xfrm>
          <a:off x="3095625" y="10315575"/>
          <a:ext cx="114300" cy="92936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929368"/>
    <xdr:sp macro="" textlink="">
      <xdr:nvSpPr>
        <xdr:cNvPr id="409" name="Text Box 150">
          <a:extLst>
            <a:ext uri="{FF2B5EF4-FFF2-40B4-BE49-F238E27FC236}">
              <a16:creationId xmlns:a16="http://schemas.microsoft.com/office/drawing/2014/main" id="{00000000-0008-0000-0F00-000099010000}"/>
            </a:ext>
          </a:extLst>
        </xdr:cNvPr>
        <xdr:cNvSpPr txBox="1">
          <a:spLocks noChangeArrowheads="1"/>
        </xdr:cNvSpPr>
      </xdr:nvSpPr>
      <xdr:spPr bwMode="auto">
        <a:xfrm>
          <a:off x="3095625" y="10315575"/>
          <a:ext cx="123825" cy="92936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929368"/>
    <xdr:sp macro="" textlink="">
      <xdr:nvSpPr>
        <xdr:cNvPr id="410" name="Text Box 151">
          <a:extLst>
            <a:ext uri="{FF2B5EF4-FFF2-40B4-BE49-F238E27FC236}">
              <a16:creationId xmlns:a16="http://schemas.microsoft.com/office/drawing/2014/main" id="{00000000-0008-0000-0F00-00009A010000}"/>
            </a:ext>
          </a:extLst>
        </xdr:cNvPr>
        <xdr:cNvSpPr txBox="1">
          <a:spLocks noChangeArrowheads="1"/>
        </xdr:cNvSpPr>
      </xdr:nvSpPr>
      <xdr:spPr bwMode="auto">
        <a:xfrm>
          <a:off x="3095625" y="10315575"/>
          <a:ext cx="123825" cy="92936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929368"/>
    <xdr:sp macro="" textlink="">
      <xdr:nvSpPr>
        <xdr:cNvPr id="411" name="Text Box 152">
          <a:extLst>
            <a:ext uri="{FF2B5EF4-FFF2-40B4-BE49-F238E27FC236}">
              <a16:creationId xmlns:a16="http://schemas.microsoft.com/office/drawing/2014/main" id="{00000000-0008-0000-0F00-00009B010000}"/>
            </a:ext>
          </a:extLst>
        </xdr:cNvPr>
        <xdr:cNvSpPr txBox="1">
          <a:spLocks noChangeArrowheads="1"/>
        </xdr:cNvSpPr>
      </xdr:nvSpPr>
      <xdr:spPr bwMode="auto">
        <a:xfrm>
          <a:off x="3095625" y="10315575"/>
          <a:ext cx="123825" cy="92936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929368"/>
    <xdr:sp macro="" textlink="">
      <xdr:nvSpPr>
        <xdr:cNvPr id="412" name="Text Box 153">
          <a:extLst>
            <a:ext uri="{FF2B5EF4-FFF2-40B4-BE49-F238E27FC236}">
              <a16:creationId xmlns:a16="http://schemas.microsoft.com/office/drawing/2014/main" id="{00000000-0008-0000-0F00-00009C010000}"/>
            </a:ext>
          </a:extLst>
        </xdr:cNvPr>
        <xdr:cNvSpPr txBox="1">
          <a:spLocks noChangeArrowheads="1"/>
        </xdr:cNvSpPr>
      </xdr:nvSpPr>
      <xdr:spPr bwMode="auto">
        <a:xfrm>
          <a:off x="3095625" y="10315575"/>
          <a:ext cx="123825" cy="92936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834118"/>
    <xdr:sp macro="" textlink="">
      <xdr:nvSpPr>
        <xdr:cNvPr id="413" name="Text Box 154">
          <a:extLst>
            <a:ext uri="{FF2B5EF4-FFF2-40B4-BE49-F238E27FC236}">
              <a16:creationId xmlns:a16="http://schemas.microsoft.com/office/drawing/2014/main" id="{00000000-0008-0000-0F00-00009D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834118"/>
    <xdr:sp macro="" textlink="">
      <xdr:nvSpPr>
        <xdr:cNvPr id="414" name="Text Box 155">
          <a:extLst>
            <a:ext uri="{FF2B5EF4-FFF2-40B4-BE49-F238E27FC236}">
              <a16:creationId xmlns:a16="http://schemas.microsoft.com/office/drawing/2014/main" id="{00000000-0008-0000-0F00-00009E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1</xdr:col>
      <xdr:colOff>1676400</xdr:colOff>
      <xdr:row>23</xdr:row>
      <xdr:rowOff>0</xdr:rowOff>
    </xdr:from>
    <xdr:ext cx="123825" cy="834118"/>
    <xdr:sp macro="" textlink="">
      <xdr:nvSpPr>
        <xdr:cNvPr id="415" name="Text Box 156">
          <a:extLst>
            <a:ext uri="{FF2B5EF4-FFF2-40B4-BE49-F238E27FC236}">
              <a16:creationId xmlns:a16="http://schemas.microsoft.com/office/drawing/2014/main" id="{00000000-0008-0000-0F00-00009F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5</xdr:col>
      <xdr:colOff>0</xdr:colOff>
      <xdr:row>23</xdr:row>
      <xdr:rowOff>0</xdr:rowOff>
    </xdr:from>
    <xdr:ext cx="123825" cy="834118"/>
    <xdr:sp macro="" textlink="">
      <xdr:nvSpPr>
        <xdr:cNvPr id="416" name="Text Box 159">
          <a:extLst>
            <a:ext uri="{FF2B5EF4-FFF2-40B4-BE49-F238E27FC236}">
              <a16:creationId xmlns:a16="http://schemas.microsoft.com/office/drawing/2014/main" id="{00000000-0008-0000-0F00-0000A0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5</xdr:col>
      <xdr:colOff>0</xdr:colOff>
      <xdr:row>23</xdr:row>
      <xdr:rowOff>0</xdr:rowOff>
    </xdr:from>
    <xdr:ext cx="123825" cy="834118"/>
    <xdr:sp macro="" textlink="">
      <xdr:nvSpPr>
        <xdr:cNvPr id="417" name="Text Box 160">
          <a:extLst>
            <a:ext uri="{FF2B5EF4-FFF2-40B4-BE49-F238E27FC236}">
              <a16:creationId xmlns:a16="http://schemas.microsoft.com/office/drawing/2014/main" id="{00000000-0008-0000-0F00-0000A1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5</xdr:col>
      <xdr:colOff>0</xdr:colOff>
      <xdr:row>23</xdr:row>
      <xdr:rowOff>0</xdr:rowOff>
    </xdr:from>
    <xdr:ext cx="123825" cy="834118"/>
    <xdr:sp macro="" textlink="">
      <xdr:nvSpPr>
        <xdr:cNvPr id="418" name="Text Box 161">
          <a:extLst>
            <a:ext uri="{FF2B5EF4-FFF2-40B4-BE49-F238E27FC236}">
              <a16:creationId xmlns:a16="http://schemas.microsoft.com/office/drawing/2014/main" id="{00000000-0008-0000-0F00-0000A2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5</xdr:col>
      <xdr:colOff>0</xdr:colOff>
      <xdr:row>23</xdr:row>
      <xdr:rowOff>0</xdr:rowOff>
    </xdr:from>
    <xdr:ext cx="123825" cy="834118"/>
    <xdr:sp macro="" textlink="">
      <xdr:nvSpPr>
        <xdr:cNvPr id="419" name="Text Box 162">
          <a:extLst>
            <a:ext uri="{FF2B5EF4-FFF2-40B4-BE49-F238E27FC236}">
              <a16:creationId xmlns:a16="http://schemas.microsoft.com/office/drawing/2014/main" id="{00000000-0008-0000-0F00-0000A3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5</xdr:col>
      <xdr:colOff>0</xdr:colOff>
      <xdr:row>23</xdr:row>
      <xdr:rowOff>0</xdr:rowOff>
    </xdr:from>
    <xdr:ext cx="123825" cy="834118"/>
    <xdr:sp macro="" textlink="">
      <xdr:nvSpPr>
        <xdr:cNvPr id="420" name="Text Box 163">
          <a:extLst>
            <a:ext uri="{FF2B5EF4-FFF2-40B4-BE49-F238E27FC236}">
              <a16:creationId xmlns:a16="http://schemas.microsoft.com/office/drawing/2014/main" id="{00000000-0008-0000-0F00-0000A4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5</xdr:col>
      <xdr:colOff>0</xdr:colOff>
      <xdr:row>23</xdr:row>
      <xdr:rowOff>0</xdr:rowOff>
    </xdr:from>
    <xdr:ext cx="123825" cy="834118"/>
    <xdr:sp macro="" textlink="">
      <xdr:nvSpPr>
        <xdr:cNvPr id="421" name="Text Box 164">
          <a:extLst>
            <a:ext uri="{FF2B5EF4-FFF2-40B4-BE49-F238E27FC236}">
              <a16:creationId xmlns:a16="http://schemas.microsoft.com/office/drawing/2014/main" id="{00000000-0008-0000-0F00-0000A5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5</xdr:col>
      <xdr:colOff>0</xdr:colOff>
      <xdr:row>23</xdr:row>
      <xdr:rowOff>0</xdr:rowOff>
    </xdr:from>
    <xdr:ext cx="123825" cy="834118"/>
    <xdr:sp macro="" textlink="">
      <xdr:nvSpPr>
        <xdr:cNvPr id="422" name="Text Box 165">
          <a:extLst>
            <a:ext uri="{FF2B5EF4-FFF2-40B4-BE49-F238E27FC236}">
              <a16:creationId xmlns:a16="http://schemas.microsoft.com/office/drawing/2014/main" id="{00000000-0008-0000-0F00-0000A6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5</xdr:col>
      <xdr:colOff>0</xdr:colOff>
      <xdr:row>23</xdr:row>
      <xdr:rowOff>0</xdr:rowOff>
    </xdr:from>
    <xdr:ext cx="123825" cy="834118"/>
    <xdr:sp macro="" textlink="">
      <xdr:nvSpPr>
        <xdr:cNvPr id="423" name="Text Box 166">
          <a:extLst>
            <a:ext uri="{FF2B5EF4-FFF2-40B4-BE49-F238E27FC236}">
              <a16:creationId xmlns:a16="http://schemas.microsoft.com/office/drawing/2014/main" id="{00000000-0008-0000-0F00-0000A7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5</xdr:col>
      <xdr:colOff>0</xdr:colOff>
      <xdr:row>23</xdr:row>
      <xdr:rowOff>0</xdr:rowOff>
    </xdr:from>
    <xdr:ext cx="114300" cy="929368"/>
    <xdr:sp macro="" textlink="">
      <xdr:nvSpPr>
        <xdr:cNvPr id="424" name="Text Box 167">
          <a:extLst>
            <a:ext uri="{FF2B5EF4-FFF2-40B4-BE49-F238E27FC236}">
              <a16:creationId xmlns:a16="http://schemas.microsoft.com/office/drawing/2014/main" id="{00000000-0008-0000-0F00-0000A8010000}"/>
            </a:ext>
          </a:extLst>
        </xdr:cNvPr>
        <xdr:cNvSpPr txBox="1">
          <a:spLocks noChangeArrowheads="1"/>
        </xdr:cNvSpPr>
      </xdr:nvSpPr>
      <xdr:spPr bwMode="auto">
        <a:xfrm>
          <a:off x="3095625" y="10315575"/>
          <a:ext cx="114300" cy="929368"/>
        </a:xfrm>
        <a:prstGeom prst="rect">
          <a:avLst/>
        </a:prstGeom>
        <a:noFill/>
        <a:ln w="9525">
          <a:noFill/>
          <a:miter lim="800000"/>
          <a:headEnd/>
          <a:tailEnd/>
        </a:ln>
      </xdr:spPr>
    </xdr:sp>
    <xdr:clientData/>
  </xdr:oneCellAnchor>
  <xdr:oneCellAnchor>
    <xdr:from>
      <xdr:col>5</xdr:col>
      <xdr:colOff>0</xdr:colOff>
      <xdr:row>23</xdr:row>
      <xdr:rowOff>0</xdr:rowOff>
    </xdr:from>
    <xdr:ext cx="114300" cy="929368"/>
    <xdr:sp macro="" textlink="">
      <xdr:nvSpPr>
        <xdr:cNvPr id="425" name="Text Box 168">
          <a:extLst>
            <a:ext uri="{FF2B5EF4-FFF2-40B4-BE49-F238E27FC236}">
              <a16:creationId xmlns:a16="http://schemas.microsoft.com/office/drawing/2014/main" id="{00000000-0008-0000-0F00-0000A9010000}"/>
            </a:ext>
          </a:extLst>
        </xdr:cNvPr>
        <xdr:cNvSpPr txBox="1">
          <a:spLocks noChangeArrowheads="1"/>
        </xdr:cNvSpPr>
      </xdr:nvSpPr>
      <xdr:spPr bwMode="auto">
        <a:xfrm>
          <a:off x="3095625" y="10315575"/>
          <a:ext cx="114300" cy="929368"/>
        </a:xfrm>
        <a:prstGeom prst="rect">
          <a:avLst/>
        </a:prstGeom>
        <a:noFill/>
        <a:ln w="9525">
          <a:noFill/>
          <a:miter lim="800000"/>
          <a:headEnd/>
          <a:tailEnd/>
        </a:ln>
      </xdr:spPr>
    </xdr:sp>
    <xdr:clientData/>
  </xdr:oneCellAnchor>
  <xdr:oneCellAnchor>
    <xdr:from>
      <xdr:col>5</xdr:col>
      <xdr:colOff>0</xdr:colOff>
      <xdr:row>23</xdr:row>
      <xdr:rowOff>0</xdr:rowOff>
    </xdr:from>
    <xdr:ext cx="123825" cy="929368"/>
    <xdr:sp macro="" textlink="">
      <xdr:nvSpPr>
        <xdr:cNvPr id="426" name="Text Box 169">
          <a:extLst>
            <a:ext uri="{FF2B5EF4-FFF2-40B4-BE49-F238E27FC236}">
              <a16:creationId xmlns:a16="http://schemas.microsoft.com/office/drawing/2014/main" id="{00000000-0008-0000-0F00-0000AA010000}"/>
            </a:ext>
          </a:extLst>
        </xdr:cNvPr>
        <xdr:cNvSpPr txBox="1">
          <a:spLocks noChangeArrowheads="1"/>
        </xdr:cNvSpPr>
      </xdr:nvSpPr>
      <xdr:spPr bwMode="auto">
        <a:xfrm>
          <a:off x="3095625" y="10315575"/>
          <a:ext cx="123825" cy="929368"/>
        </a:xfrm>
        <a:prstGeom prst="rect">
          <a:avLst/>
        </a:prstGeom>
        <a:noFill/>
        <a:ln w="9525">
          <a:noFill/>
          <a:miter lim="800000"/>
          <a:headEnd/>
          <a:tailEnd/>
        </a:ln>
      </xdr:spPr>
    </xdr:sp>
    <xdr:clientData/>
  </xdr:oneCellAnchor>
  <xdr:oneCellAnchor>
    <xdr:from>
      <xdr:col>5</xdr:col>
      <xdr:colOff>0</xdr:colOff>
      <xdr:row>23</xdr:row>
      <xdr:rowOff>0</xdr:rowOff>
    </xdr:from>
    <xdr:ext cx="123825" cy="929368"/>
    <xdr:sp macro="" textlink="">
      <xdr:nvSpPr>
        <xdr:cNvPr id="427" name="Text Box 170">
          <a:extLst>
            <a:ext uri="{FF2B5EF4-FFF2-40B4-BE49-F238E27FC236}">
              <a16:creationId xmlns:a16="http://schemas.microsoft.com/office/drawing/2014/main" id="{00000000-0008-0000-0F00-0000AB010000}"/>
            </a:ext>
          </a:extLst>
        </xdr:cNvPr>
        <xdr:cNvSpPr txBox="1">
          <a:spLocks noChangeArrowheads="1"/>
        </xdr:cNvSpPr>
      </xdr:nvSpPr>
      <xdr:spPr bwMode="auto">
        <a:xfrm>
          <a:off x="3095625" y="10315575"/>
          <a:ext cx="123825" cy="929368"/>
        </a:xfrm>
        <a:prstGeom prst="rect">
          <a:avLst/>
        </a:prstGeom>
        <a:noFill/>
        <a:ln w="9525">
          <a:noFill/>
          <a:miter lim="800000"/>
          <a:headEnd/>
          <a:tailEnd/>
        </a:ln>
      </xdr:spPr>
    </xdr:sp>
    <xdr:clientData/>
  </xdr:oneCellAnchor>
  <xdr:oneCellAnchor>
    <xdr:from>
      <xdr:col>5</xdr:col>
      <xdr:colOff>0</xdr:colOff>
      <xdr:row>23</xdr:row>
      <xdr:rowOff>0</xdr:rowOff>
    </xdr:from>
    <xdr:ext cx="123825" cy="929368"/>
    <xdr:sp macro="" textlink="">
      <xdr:nvSpPr>
        <xdr:cNvPr id="428" name="Text Box 171">
          <a:extLst>
            <a:ext uri="{FF2B5EF4-FFF2-40B4-BE49-F238E27FC236}">
              <a16:creationId xmlns:a16="http://schemas.microsoft.com/office/drawing/2014/main" id="{00000000-0008-0000-0F00-0000AC010000}"/>
            </a:ext>
          </a:extLst>
        </xdr:cNvPr>
        <xdr:cNvSpPr txBox="1">
          <a:spLocks noChangeArrowheads="1"/>
        </xdr:cNvSpPr>
      </xdr:nvSpPr>
      <xdr:spPr bwMode="auto">
        <a:xfrm>
          <a:off x="3095625" y="10315575"/>
          <a:ext cx="123825" cy="929368"/>
        </a:xfrm>
        <a:prstGeom prst="rect">
          <a:avLst/>
        </a:prstGeom>
        <a:noFill/>
        <a:ln w="9525">
          <a:noFill/>
          <a:miter lim="800000"/>
          <a:headEnd/>
          <a:tailEnd/>
        </a:ln>
      </xdr:spPr>
    </xdr:sp>
    <xdr:clientData/>
  </xdr:oneCellAnchor>
  <xdr:oneCellAnchor>
    <xdr:from>
      <xdr:col>5</xdr:col>
      <xdr:colOff>0</xdr:colOff>
      <xdr:row>23</xdr:row>
      <xdr:rowOff>0</xdr:rowOff>
    </xdr:from>
    <xdr:ext cx="123825" cy="929368"/>
    <xdr:sp macro="" textlink="">
      <xdr:nvSpPr>
        <xdr:cNvPr id="429" name="Text Box 172">
          <a:extLst>
            <a:ext uri="{FF2B5EF4-FFF2-40B4-BE49-F238E27FC236}">
              <a16:creationId xmlns:a16="http://schemas.microsoft.com/office/drawing/2014/main" id="{00000000-0008-0000-0F00-0000AD010000}"/>
            </a:ext>
          </a:extLst>
        </xdr:cNvPr>
        <xdr:cNvSpPr txBox="1">
          <a:spLocks noChangeArrowheads="1"/>
        </xdr:cNvSpPr>
      </xdr:nvSpPr>
      <xdr:spPr bwMode="auto">
        <a:xfrm>
          <a:off x="3095625" y="10315575"/>
          <a:ext cx="123825" cy="929368"/>
        </a:xfrm>
        <a:prstGeom prst="rect">
          <a:avLst/>
        </a:prstGeom>
        <a:noFill/>
        <a:ln w="9525">
          <a:noFill/>
          <a:miter lim="800000"/>
          <a:headEnd/>
          <a:tailEnd/>
        </a:ln>
      </xdr:spPr>
    </xdr:sp>
    <xdr:clientData/>
  </xdr:oneCellAnchor>
  <xdr:oneCellAnchor>
    <xdr:from>
      <xdr:col>5</xdr:col>
      <xdr:colOff>0</xdr:colOff>
      <xdr:row>23</xdr:row>
      <xdr:rowOff>0</xdr:rowOff>
    </xdr:from>
    <xdr:ext cx="123825" cy="834118"/>
    <xdr:sp macro="" textlink="">
      <xdr:nvSpPr>
        <xdr:cNvPr id="430" name="Text Box 173">
          <a:extLst>
            <a:ext uri="{FF2B5EF4-FFF2-40B4-BE49-F238E27FC236}">
              <a16:creationId xmlns:a16="http://schemas.microsoft.com/office/drawing/2014/main" id="{00000000-0008-0000-0F00-0000AE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5</xdr:col>
      <xdr:colOff>0</xdr:colOff>
      <xdr:row>23</xdr:row>
      <xdr:rowOff>0</xdr:rowOff>
    </xdr:from>
    <xdr:ext cx="123825" cy="834118"/>
    <xdr:sp macro="" textlink="">
      <xdr:nvSpPr>
        <xdr:cNvPr id="431" name="Text Box 174">
          <a:extLst>
            <a:ext uri="{FF2B5EF4-FFF2-40B4-BE49-F238E27FC236}">
              <a16:creationId xmlns:a16="http://schemas.microsoft.com/office/drawing/2014/main" id="{00000000-0008-0000-0F00-0000AF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5</xdr:col>
      <xdr:colOff>0</xdr:colOff>
      <xdr:row>23</xdr:row>
      <xdr:rowOff>0</xdr:rowOff>
    </xdr:from>
    <xdr:ext cx="123825" cy="834118"/>
    <xdr:sp macro="" textlink="">
      <xdr:nvSpPr>
        <xdr:cNvPr id="432" name="Text Box 175">
          <a:extLst>
            <a:ext uri="{FF2B5EF4-FFF2-40B4-BE49-F238E27FC236}">
              <a16:creationId xmlns:a16="http://schemas.microsoft.com/office/drawing/2014/main" id="{00000000-0008-0000-0F00-0000B0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5</xdr:col>
      <xdr:colOff>0</xdr:colOff>
      <xdr:row>23</xdr:row>
      <xdr:rowOff>0</xdr:rowOff>
    </xdr:from>
    <xdr:ext cx="123825" cy="834118"/>
    <xdr:sp macro="" textlink="">
      <xdr:nvSpPr>
        <xdr:cNvPr id="433" name="Text Box 176">
          <a:extLst>
            <a:ext uri="{FF2B5EF4-FFF2-40B4-BE49-F238E27FC236}">
              <a16:creationId xmlns:a16="http://schemas.microsoft.com/office/drawing/2014/main" id="{00000000-0008-0000-0F00-0000B1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23825" cy="834118"/>
    <xdr:sp macro="" textlink="">
      <xdr:nvSpPr>
        <xdr:cNvPr id="434" name="Text Box 178">
          <a:extLst>
            <a:ext uri="{FF2B5EF4-FFF2-40B4-BE49-F238E27FC236}">
              <a16:creationId xmlns:a16="http://schemas.microsoft.com/office/drawing/2014/main" id="{00000000-0008-0000-0F00-0000B2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23825" cy="834118"/>
    <xdr:sp macro="" textlink="">
      <xdr:nvSpPr>
        <xdr:cNvPr id="435" name="Text Box 179">
          <a:extLst>
            <a:ext uri="{FF2B5EF4-FFF2-40B4-BE49-F238E27FC236}">
              <a16:creationId xmlns:a16="http://schemas.microsoft.com/office/drawing/2014/main" id="{00000000-0008-0000-0F00-0000B3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23825" cy="834118"/>
    <xdr:sp macro="" textlink="">
      <xdr:nvSpPr>
        <xdr:cNvPr id="436" name="Text Box 180">
          <a:extLst>
            <a:ext uri="{FF2B5EF4-FFF2-40B4-BE49-F238E27FC236}">
              <a16:creationId xmlns:a16="http://schemas.microsoft.com/office/drawing/2014/main" id="{00000000-0008-0000-0F00-0000B4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23825" cy="834118"/>
    <xdr:sp macro="" textlink="">
      <xdr:nvSpPr>
        <xdr:cNvPr id="437" name="Text Box 181">
          <a:extLst>
            <a:ext uri="{FF2B5EF4-FFF2-40B4-BE49-F238E27FC236}">
              <a16:creationId xmlns:a16="http://schemas.microsoft.com/office/drawing/2014/main" id="{00000000-0008-0000-0F00-0000B5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23825" cy="834118"/>
    <xdr:sp macro="" textlink="">
      <xdr:nvSpPr>
        <xdr:cNvPr id="438" name="Text Box 182">
          <a:extLst>
            <a:ext uri="{FF2B5EF4-FFF2-40B4-BE49-F238E27FC236}">
              <a16:creationId xmlns:a16="http://schemas.microsoft.com/office/drawing/2014/main" id="{00000000-0008-0000-0F00-0000B6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23825" cy="834118"/>
    <xdr:sp macro="" textlink="">
      <xdr:nvSpPr>
        <xdr:cNvPr id="439" name="Text Box 183">
          <a:extLst>
            <a:ext uri="{FF2B5EF4-FFF2-40B4-BE49-F238E27FC236}">
              <a16:creationId xmlns:a16="http://schemas.microsoft.com/office/drawing/2014/main" id="{00000000-0008-0000-0F00-0000B7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23825" cy="834118"/>
    <xdr:sp macro="" textlink="">
      <xdr:nvSpPr>
        <xdr:cNvPr id="440" name="Text Box 184">
          <a:extLst>
            <a:ext uri="{FF2B5EF4-FFF2-40B4-BE49-F238E27FC236}">
              <a16:creationId xmlns:a16="http://schemas.microsoft.com/office/drawing/2014/main" id="{00000000-0008-0000-0F00-0000B8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23825" cy="834118"/>
    <xdr:sp macro="" textlink="">
      <xdr:nvSpPr>
        <xdr:cNvPr id="441" name="Text Box 185">
          <a:extLst>
            <a:ext uri="{FF2B5EF4-FFF2-40B4-BE49-F238E27FC236}">
              <a16:creationId xmlns:a16="http://schemas.microsoft.com/office/drawing/2014/main" id="{00000000-0008-0000-0F00-0000B9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14300" cy="929368"/>
    <xdr:sp macro="" textlink="">
      <xdr:nvSpPr>
        <xdr:cNvPr id="442" name="Text Box 186">
          <a:extLst>
            <a:ext uri="{FF2B5EF4-FFF2-40B4-BE49-F238E27FC236}">
              <a16:creationId xmlns:a16="http://schemas.microsoft.com/office/drawing/2014/main" id="{00000000-0008-0000-0F00-0000BA010000}"/>
            </a:ext>
          </a:extLst>
        </xdr:cNvPr>
        <xdr:cNvSpPr txBox="1">
          <a:spLocks noChangeArrowheads="1"/>
        </xdr:cNvSpPr>
      </xdr:nvSpPr>
      <xdr:spPr bwMode="auto">
        <a:xfrm>
          <a:off x="3095625" y="10315575"/>
          <a:ext cx="114300" cy="929368"/>
        </a:xfrm>
        <a:prstGeom prst="rect">
          <a:avLst/>
        </a:prstGeom>
        <a:noFill/>
        <a:ln w="9525">
          <a:noFill/>
          <a:miter lim="800000"/>
          <a:headEnd/>
          <a:tailEnd/>
        </a:ln>
      </xdr:spPr>
    </xdr:sp>
    <xdr:clientData/>
  </xdr:oneCellAnchor>
  <xdr:oneCellAnchor>
    <xdr:from>
      <xdr:col>4</xdr:col>
      <xdr:colOff>0</xdr:colOff>
      <xdr:row>23</xdr:row>
      <xdr:rowOff>0</xdr:rowOff>
    </xdr:from>
    <xdr:ext cx="114300" cy="929368"/>
    <xdr:sp macro="" textlink="">
      <xdr:nvSpPr>
        <xdr:cNvPr id="443" name="Text Box 187">
          <a:extLst>
            <a:ext uri="{FF2B5EF4-FFF2-40B4-BE49-F238E27FC236}">
              <a16:creationId xmlns:a16="http://schemas.microsoft.com/office/drawing/2014/main" id="{00000000-0008-0000-0F00-0000BB010000}"/>
            </a:ext>
          </a:extLst>
        </xdr:cNvPr>
        <xdr:cNvSpPr txBox="1">
          <a:spLocks noChangeArrowheads="1"/>
        </xdr:cNvSpPr>
      </xdr:nvSpPr>
      <xdr:spPr bwMode="auto">
        <a:xfrm>
          <a:off x="3095625" y="10315575"/>
          <a:ext cx="114300" cy="929368"/>
        </a:xfrm>
        <a:prstGeom prst="rect">
          <a:avLst/>
        </a:prstGeom>
        <a:noFill/>
        <a:ln w="9525">
          <a:noFill/>
          <a:miter lim="800000"/>
          <a:headEnd/>
          <a:tailEnd/>
        </a:ln>
      </xdr:spPr>
    </xdr:sp>
    <xdr:clientData/>
  </xdr:oneCellAnchor>
  <xdr:oneCellAnchor>
    <xdr:from>
      <xdr:col>4</xdr:col>
      <xdr:colOff>0</xdr:colOff>
      <xdr:row>23</xdr:row>
      <xdr:rowOff>0</xdr:rowOff>
    </xdr:from>
    <xdr:ext cx="123825" cy="929368"/>
    <xdr:sp macro="" textlink="">
      <xdr:nvSpPr>
        <xdr:cNvPr id="444" name="Text Box 188">
          <a:extLst>
            <a:ext uri="{FF2B5EF4-FFF2-40B4-BE49-F238E27FC236}">
              <a16:creationId xmlns:a16="http://schemas.microsoft.com/office/drawing/2014/main" id="{00000000-0008-0000-0F00-0000BC010000}"/>
            </a:ext>
          </a:extLst>
        </xdr:cNvPr>
        <xdr:cNvSpPr txBox="1">
          <a:spLocks noChangeArrowheads="1"/>
        </xdr:cNvSpPr>
      </xdr:nvSpPr>
      <xdr:spPr bwMode="auto">
        <a:xfrm>
          <a:off x="3095625" y="10315575"/>
          <a:ext cx="123825" cy="929368"/>
        </a:xfrm>
        <a:prstGeom prst="rect">
          <a:avLst/>
        </a:prstGeom>
        <a:noFill/>
        <a:ln w="9525">
          <a:noFill/>
          <a:miter lim="800000"/>
          <a:headEnd/>
          <a:tailEnd/>
        </a:ln>
      </xdr:spPr>
    </xdr:sp>
    <xdr:clientData/>
  </xdr:oneCellAnchor>
  <xdr:oneCellAnchor>
    <xdr:from>
      <xdr:col>4</xdr:col>
      <xdr:colOff>0</xdr:colOff>
      <xdr:row>23</xdr:row>
      <xdr:rowOff>0</xdr:rowOff>
    </xdr:from>
    <xdr:ext cx="123825" cy="929368"/>
    <xdr:sp macro="" textlink="">
      <xdr:nvSpPr>
        <xdr:cNvPr id="445" name="Text Box 189">
          <a:extLst>
            <a:ext uri="{FF2B5EF4-FFF2-40B4-BE49-F238E27FC236}">
              <a16:creationId xmlns:a16="http://schemas.microsoft.com/office/drawing/2014/main" id="{00000000-0008-0000-0F00-0000BD010000}"/>
            </a:ext>
          </a:extLst>
        </xdr:cNvPr>
        <xdr:cNvSpPr txBox="1">
          <a:spLocks noChangeArrowheads="1"/>
        </xdr:cNvSpPr>
      </xdr:nvSpPr>
      <xdr:spPr bwMode="auto">
        <a:xfrm>
          <a:off x="3095625" y="10315575"/>
          <a:ext cx="123825" cy="929368"/>
        </a:xfrm>
        <a:prstGeom prst="rect">
          <a:avLst/>
        </a:prstGeom>
        <a:noFill/>
        <a:ln w="9525">
          <a:noFill/>
          <a:miter lim="800000"/>
          <a:headEnd/>
          <a:tailEnd/>
        </a:ln>
      </xdr:spPr>
    </xdr:sp>
    <xdr:clientData/>
  </xdr:oneCellAnchor>
  <xdr:oneCellAnchor>
    <xdr:from>
      <xdr:col>4</xdr:col>
      <xdr:colOff>0</xdr:colOff>
      <xdr:row>23</xdr:row>
      <xdr:rowOff>0</xdr:rowOff>
    </xdr:from>
    <xdr:ext cx="123825" cy="929368"/>
    <xdr:sp macro="" textlink="">
      <xdr:nvSpPr>
        <xdr:cNvPr id="446" name="Text Box 190">
          <a:extLst>
            <a:ext uri="{FF2B5EF4-FFF2-40B4-BE49-F238E27FC236}">
              <a16:creationId xmlns:a16="http://schemas.microsoft.com/office/drawing/2014/main" id="{00000000-0008-0000-0F00-0000BE010000}"/>
            </a:ext>
          </a:extLst>
        </xdr:cNvPr>
        <xdr:cNvSpPr txBox="1">
          <a:spLocks noChangeArrowheads="1"/>
        </xdr:cNvSpPr>
      </xdr:nvSpPr>
      <xdr:spPr bwMode="auto">
        <a:xfrm>
          <a:off x="3095625" y="10315575"/>
          <a:ext cx="123825" cy="929368"/>
        </a:xfrm>
        <a:prstGeom prst="rect">
          <a:avLst/>
        </a:prstGeom>
        <a:noFill/>
        <a:ln w="9525">
          <a:noFill/>
          <a:miter lim="800000"/>
          <a:headEnd/>
          <a:tailEnd/>
        </a:ln>
      </xdr:spPr>
    </xdr:sp>
    <xdr:clientData/>
  </xdr:oneCellAnchor>
  <xdr:oneCellAnchor>
    <xdr:from>
      <xdr:col>4</xdr:col>
      <xdr:colOff>0</xdr:colOff>
      <xdr:row>23</xdr:row>
      <xdr:rowOff>0</xdr:rowOff>
    </xdr:from>
    <xdr:ext cx="123825" cy="929368"/>
    <xdr:sp macro="" textlink="">
      <xdr:nvSpPr>
        <xdr:cNvPr id="447" name="Text Box 191">
          <a:extLst>
            <a:ext uri="{FF2B5EF4-FFF2-40B4-BE49-F238E27FC236}">
              <a16:creationId xmlns:a16="http://schemas.microsoft.com/office/drawing/2014/main" id="{00000000-0008-0000-0F00-0000BF010000}"/>
            </a:ext>
          </a:extLst>
        </xdr:cNvPr>
        <xdr:cNvSpPr txBox="1">
          <a:spLocks noChangeArrowheads="1"/>
        </xdr:cNvSpPr>
      </xdr:nvSpPr>
      <xdr:spPr bwMode="auto">
        <a:xfrm>
          <a:off x="3095625" y="10315575"/>
          <a:ext cx="123825" cy="929368"/>
        </a:xfrm>
        <a:prstGeom prst="rect">
          <a:avLst/>
        </a:prstGeom>
        <a:noFill/>
        <a:ln w="9525">
          <a:noFill/>
          <a:miter lim="800000"/>
          <a:headEnd/>
          <a:tailEnd/>
        </a:ln>
      </xdr:spPr>
    </xdr:sp>
    <xdr:clientData/>
  </xdr:oneCellAnchor>
  <xdr:oneCellAnchor>
    <xdr:from>
      <xdr:col>4</xdr:col>
      <xdr:colOff>0</xdr:colOff>
      <xdr:row>23</xdr:row>
      <xdr:rowOff>0</xdr:rowOff>
    </xdr:from>
    <xdr:ext cx="123825" cy="834118"/>
    <xdr:sp macro="" textlink="">
      <xdr:nvSpPr>
        <xdr:cNvPr id="448" name="Text Box 192">
          <a:extLst>
            <a:ext uri="{FF2B5EF4-FFF2-40B4-BE49-F238E27FC236}">
              <a16:creationId xmlns:a16="http://schemas.microsoft.com/office/drawing/2014/main" id="{00000000-0008-0000-0F00-0000C0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23825" cy="834118"/>
    <xdr:sp macro="" textlink="">
      <xdr:nvSpPr>
        <xdr:cNvPr id="449" name="Text Box 193">
          <a:extLst>
            <a:ext uri="{FF2B5EF4-FFF2-40B4-BE49-F238E27FC236}">
              <a16:creationId xmlns:a16="http://schemas.microsoft.com/office/drawing/2014/main" id="{00000000-0008-0000-0F00-0000C1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23825" cy="834118"/>
    <xdr:sp macro="" textlink="">
      <xdr:nvSpPr>
        <xdr:cNvPr id="450" name="Text Box 194">
          <a:extLst>
            <a:ext uri="{FF2B5EF4-FFF2-40B4-BE49-F238E27FC236}">
              <a16:creationId xmlns:a16="http://schemas.microsoft.com/office/drawing/2014/main" id="{00000000-0008-0000-0F00-0000C2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23825" cy="834118"/>
    <xdr:sp macro="" textlink="">
      <xdr:nvSpPr>
        <xdr:cNvPr id="451" name="Text Box 195">
          <a:extLst>
            <a:ext uri="{FF2B5EF4-FFF2-40B4-BE49-F238E27FC236}">
              <a16:creationId xmlns:a16="http://schemas.microsoft.com/office/drawing/2014/main" id="{00000000-0008-0000-0F00-0000C3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23825" cy="834118"/>
    <xdr:sp macro="" textlink="">
      <xdr:nvSpPr>
        <xdr:cNvPr id="452" name="Text Box 196">
          <a:extLst>
            <a:ext uri="{FF2B5EF4-FFF2-40B4-BE49-F238E27FC236}">
              <a16:creationId xmlns:a16="http://schemas.microsoft.com/office/drawing/2014/main" id="{00000000-0008-0000-0F00-0000C4010000}"/>
            </a:ext>
          </a:extLst>
        </xdr:cNvPr>
        <xdr:cNvSpPr txBox="1">
          <a:spLocks noChangeArrowheads="1"/>
        </xdr:cNvSpPr>
      </xdr:nvSpPr>
      <xdr:spPr bwMode="auto">
        <a:xfrm>
          <a:off x="3095625" y="10315575"/>
          <a:ext cx="123825" cy="834118"/>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453" name="Text Box 197">
          <a:extLst>
            <a:ext uri="{FF2B5EF4-FFF2-40B4-BE49-F238E27FC236}">
              <a16:creationId xmlns:a16="http://schemas.microsoft.com/office/drawing/2014/main" id="{00000000-0008-0000-0F00-0000C501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454" name="Text Box 198">
          <a:extLst>
            <a:ext uri="{FF2B5EF4-FFF2-40B4-BE49-F238E27FC236}">
              <a16:creationId xmlns:a16="http://schemas.microsoft.com/office/drawing/2014/main" id="{00000000-0008-0000-0F00-0000C601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455" name="Text Box 199">
          <a:extLst>
            <a:ext uri="{FF2B5EF4-FFF2-40B4-BE49-F238E27FC236}">
              <a16:creationId xmlns:a16="http://schemas.microsoft.com/office/drawing/2014/main" id="{00000000-0008-0000-0F00-0000C701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456" name="Text Box 200">
          <a:extLst>
            <a:ext uri="{FF2B5EF4-FFF2-40B4-BE49-F238E27FC236}">
              <a16:creationId xmlns:a16="http://schemas.microsoft.com/office/drawing/2014/main" id="{00000000-0008-0000-0F00-0000C801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457" name="Text Box 201">
          <a:extLst>
            <a:ext uri="{FF2B5EF4-FFF2-40B4-BE49-F238E27FC236}">
              <a16:creationId xmlns:a16="http://schemas.microsoft.com/office/drawing/2014/main" id="{00000000-0008-0000-0F00-0000C901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458" name="Text Box 202">
          <a:extLst>
            <a:ext uri="{FF2B5EF4-FFF2-40B4-BE49-F238E27FC236}">
              <a16:creationId xmlns:a16="http://schemas.microsoft.com/office/drawing/2014/main" id="{00000000-0008-0000-0F00-0000CA01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459" name="Text Box 203">
          <a:extLst>
            <a:ext uri="{FF2B5EF4-FFF2-40B4-BE49-F238E27FC236}">
              <a16:creationId xmlns:a16="http://schemas.microsoft.com/office/drawing/2014/main" id="{00000000-0008-0000-0F00-0000CB01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460" name="Text Box 204">
          <a:extLst>
            <a:ext uri="{FF2B5EF4-FFF2-40B4-BE49-F238E27FC236}">
              <a16:creationId xmlns:a16="http://schemas.microsoft.com/office/drawing/2014/main" id="{00000000-0008-0000-0F00-0000CC01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14300" cy="945696"/>
    <xdr:sp macro="" textlink="">
      <xdr:nvSpPr>
        <xdr:cNvPr id="461" name="Text Box 205">
          <a:extLst>
            <a:ext uri="{FF2B5EF4-FFF2-40B4-BE49-F238E27FC236}">
              <a16:creationId xmlns:a16="http://schemas.microsoft.com/office/drawing/2014/main" id="{00000000-0008-0000-0F00-0000CD010000}"/>
            </a:ext>
          </a:extLst>
        </xdr:cNvPr>
        <xdr:cNvSpPr txBox="1">
          <a:spLocks noChangeArrowheads="1"/>
        </xdr:cNvSpPr>
      </xdr:nvSpPr>
      <xdr:spPr bwMode="auto">
        <a:xfrm>
          <a:off x="3095625" y="10315575"/>
          <a:ext cx="114300" cy="945696"/>
        </a:xfrm>
        <a:prstGeom prst="rect">
          <a:avLst/>
        </a:prstGeom>
        <a:noFill/>
        <a:ln w="9525">
          <a:noFill/>
          <a:miter lim="800000"/>
          <a:headEnd/>
          <a:tailEnd/>
        </a:ln>
      </xdr:spPr>
    </xdr:sp>
    <xdr:clientData/>
  </xdr:oneCellAnchor>
  <xdr:oneCellAnchor>
    <xdr:from>
      <xdr:col>4</xdr:col>
      <xdr:colOff>0</xdr:colOff>
      <xdr:row>23</xdr:row>
      <xdr:rowOff>0</xdr:rowOff>
    </xdr:from>
    <xdr:ext cx="114300" cy="945696"/>
    <xdr:sp macro="" textlink="">
      <xdr:nvSpPr>
        <xdr:cNvPr id="462" name="Text Box 206">
          <a:extLst>
            <a:ext uri="{FF2B5EF4-FFF2-40B4-BE49-F238E27FC236}">
              <a16:creationId xmlns:a16="http://schemas.microsoft.com/office/drawing/2014/main" id="{00000000-0008-0000-0F00-0000CE010000}"/>
            </a:ext>
          </a:extLst>
        </xdr:cNvPr>
        <xdr:cNvSpPr txBox="1">
          <a:spLocks noChangeArrowheads="1"/>
        </xdr:cNvSpPr>
      </xdr:nvSpPr>
      <xdr:spPr bwMode="auto">
        <a:xfrm>
          <a:off x="3095625" y="10315575"/>
          <a:ext cx="114300" cy="945696"/>
        </a:xfrm>
        <a:prstGeom prst="rect">
          <a:avLst/>
        </a:prstGeom>
        <a:noFill/>
        <a:ln w="9525">
          <a:noFill/>
          <a:miter lim="800000"/>
          <a:headEnd/>
          <a:tailEnd/>
        </a:ln>
      </xdr:spPr>
    </xdr:sp>
    <xdr:clientData/>
  </xdr:oneCellAnchor>
  <xdr:oneCellAnchor>
    <xdr:from>
      <xdr:col>4</xdr:col>
      <xdr:colOff>0</xdr:colOff>
      <xdr:row>23</xdr:row>
      <xdr:rowOff>0</xdr:rowOff>
    </xdr:from>
    <xdr:ext cx="123825" cy="945696"/>
    <xdr:sp macro="" textlink="">
      <xdr:nvSpPr>
        <xdr:cNvPr id="463" name="Text Box 207">
          <a:extLst>
            <a:ext uri="{FF2B5EF4-FFF2-40B4-BE49-F238E27FC236}">
              <a16:creationId xmlns:a16="http://schemas.microsoft.com/office/drawing/2014/main" id="{00000000-0008-0000-0F00-0000CF010000}"/>
            </a:ext>
          </a:extLst>
        </xdr:cNvPr>
        <xdr:cNvSpPr txBox="1">
          <a:spLocks noChangeArrowheads="1"/>
        </xdr:cNvSpPr>
      </xdr:nvSpPr>
      <xdr:spPr bwMode="auto">
        <a:xfrm>
          <a:off x="3095625" y="10315575"/>
          <a:ext cx="123825" cy="945696"/>
        </a:xfrm>
        <a:prstGeom prst="rect">
          <a:avLst/>
        </a:prstGeom>
        <a:noFill/>
        <a:ln w="9525">
          <a:noFill/>
          <a:miter lim="800000"/>
          <a:headEnd/>
          <a:tailEnd/>
        </a:ln>
      </xdr:spPr>
    </xdr:sp>
    <xdr:clientData/>
  </xdr:oneCellAnchor>
  <xdr:oneCellAnchor>
    <xdr:from>
      <xdr:col>4</xdr:col>
      <xdr:colOff>0</xdr:colOff>
      <xdr:row>23</xdr:row>
      <xdr:rowOff>0</xdr:rowOff>
    </xdr:from>
    <xdr:ext cx="123825" cy="945696"/>
    <xdr:sp macro="" textlink="">
      <xdr:nvSpPr>
        <xdr:cNvPr id="464" name="Text Box 208">
          <a:extLst>
            <a:ext uri="{FF2B5EF4-FFF2-40B4-BE49-F238E27FC236}">
              <a16:creationId xmlns:a16="http://schemas.microsoft.com/office/drawing/2014/main" id="{00000000-0008-0000-0F00-0000D0010000}"/>
            </a:ext>
          </a:extLst>
        </xdr:cNvPr>
        <xdr:cNvSpPr txBox="1">
          <a:spLocks noChangeArrowheads="1"/>
        </xdr:cNvSpPr>
      </xdr:nvSpPr>
      <xdr:spPr bwMode="auto">
        <a:xfrm>
          <a:off x="3095625" y="10315575"/>
          <a:ext cx="123825" cy="945696"/>
        </a:xfrm>
        <a:prstGeom prst="rect">
          <a:avLst/>
        </a:prstGeom>
        <a:noFill/>
        <a:ln w="9525">
          <a:noFill/>
          <a:miter lim="800000"/>
          <a:headEnd/>
          <a:tailEnd/>
        </a:ln>
      </xdr:spPr>
    </xdr:sp>
    <xdr:clientData/>
  </xdr:oneCellAnchor>
  <xdr:oneCellAnchor>
    <xdr:from>
      <xdr:col>4</xdr:col>
      <xdr:colOff>0</xdr:colOff>
      <xdr:row>23</xdr:row>
      <xdr:rowOff>0</xdr:rowOff>
    </xdr:from>
    <xdr:ext cx="123825" cy="945696"/>
    <xdr:sp macro="" textlink="">
      <xdr:nvSpPr>
        <xdr:cNvPr id="465" name="Text Box 209">
          <a:extLst>
            <a:ext uri="{FF2B5EF4-FFF2-40B4-BE49-F238E27FC236}">
              <a16:creationId xmlns:a16="http://schemas.microsoft.com/office/drawing/2014/main" id="{00000000-0008-0000-0F00-0000D1010000}"/>
            </a:ext>
          </a:extLst>
        </xdr:cNvPr>
        <xdr:cNvSpPr txBox="1">
          <a:spLocks noChangeArrowheads="1"/>
        </xdr:cNvSpPr>
      </xdr:nvSpPr>
      <xdr:spPr bwMode="auto">
        <a:xfrm>
          <a:off x="3095625" y="10315575"/>
          <a:ext cx="123825" cy="945696"/>
        </a:xfrm>
        <a:prstGeom prst="rect">
          <a:avLst/>
        </a:prstGeom>
        <a:noFill/>
        <a:ln w="9525">
          <a:noFill/>
          <a:miter lim="800000"/>
          <a:headEnd/>
          <a:tailEnd/>
        </a:ln>
      </xdr:spPr>
    </xdr:sp>
    <xdr:clientData/>
  </xdr:oneCellAnchor>
  <xdr:oneCellAnchor>
    <xdr:from>
      <xdr:col>4</xdr:col>
      <xdr:colOff>0</xdr:colOff>
      <xdr:row>23</xdr:row>
      <xdr:rowOff>0</xdr:rowOff>
    </xdr:from>
    <xdr:ext cx="123825" cy="945696"/>
    <xdr:sp macro="" textlink="">
      <xdr:nvSpPr>
        <xdr:cNvPr id="466" name="Text Box 210">
          <a:extLst>
            <a:ext uri="{FF2B5EF4-FFF2-40B4-BE49-F238E27FC236}">
              <a16:creationId xmlns:a16="http://schemas.microsoft.com/office/drawing/2014/main" id="{00000000-0008-0000-0F00-0000D2010000}"/>
            </a:ext>
          </a:extLst>
        </xdr:cNvPr>
        <xdr:cNvSpPr txBox="1">
          <a:spLocks noChangeArrowheads="1"/>
        </xdr:cNvSpPr>
      </xdr:nvSpPr>
      <xdr:spPr bwMode="auto">
        <a:xfrm>
          <a:off x="3095625" y="10315575"/>
          <a:ext cx="123825" cy="9456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467" name="Text Box 211">
          <a:extLst>
            <a:ext uri="{FF2B5EF4-FFF2-40B4-BE49-F238E27FC236}">
              <a16:creationId xmlns:a16="http://schemas.microsoft.com/office/drawing/2014/main" id="{00000000-0008-0000-0F00-0000D301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468" name="Text Box 212">
          <a:extLst>
            <a:ext uri="{FF2B5EF4-FFF2-40B4-BE49-F238E27FC236}">
              <a16:creationId xmlns:a16="http://schemas.microsoft.com/office/drawing/2014/main" id="{00000000-0008-0000-0F00-0000D401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469" name="Text Box 213">
          <a:extLst>
            <a:ext uri="{FF2B5EF4-FFF2-40B4-BE49-F238E27FC236}">
              <a16:creationId xmlns:a16="http://schemas.microsoft.com/office/drawing/2014/main" id="{00000000-0008-0000-0F00-0000D501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470" name="Text Box 214">
          <a:extLst>
            <a:ext uri="{FF2B5EF4-FFF2-40B4-BE49-F238E27FC236}">
              <a16:creationId xmlns:a16="http://schemas.microsoft.com/office/drawing/2014/main" id="{00000000-0008-0000-0F00-0000D601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42282"/>
    <xdr:sp macro="" textlink="">
      <xdr:nvSpPr>
        <xdr:cNvPr id="471" name="Text Box 216">
          <a:extLst>
            <a:ext uri="{FF2B5EF4-FFF2-40B4-BE49-F238E27FC236}">
              <a16:creationId xmlns:a16="http://schemas.microsoft.com/office/drawing/2014/main" id="{00000000-0008-0000-0F00-0000D701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4</xdr:col>
      <xdr:colOff>0</xdr:colOff>
      <xdr:row>23</xdr:row>
      <xdr:rowOff>0</xdr:rowOff>
    </xdr:from>
    <xdr:ext cx="123825" cy="842282"/>
    <xdr:sp macro="" textlink="">
      <xdr:nvSpPr>
        <xdr:cNvPr id="472" name="Text Box 217">
          <a:extLst>
            <a:ext uri="{FF2B5EF4-FFF2-40B4-BE49-F238E27FC236}">
              <a16:creationId xmlns:a16="http://schemas.microsoft.com/office/drawing/2014/main" id="{00000000-0008-0000-0F00-0000D801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4</xdr:col>
      <xdr:colOff>0</xdr:colOff>
      <xdr:row>23</xdr:row>
      <xdr:rowOff>0</xdr:rowOff>
    </xdr:from>
    <xdr:ext cx="123825" cy="842282"/>
    <xdr:sp macro="" textlink="">
      <xdr:nvSpPr>
        <xdr:cNvPr id="473" name="Text Box 218">
          <a:extLst>
            <a:ext uri="{FF2B5EF4-FFF2-40B4-BE49-F238E27FC236}">
              <a16:creationId xmlns:a16="http://schemas.microsoft.com/office/drawing/2014/main" id="{00000000-0008-0000-0F00-0000D901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4</xdr:col>
      <xdr:colOff>0</xdr:colOff>
      <xdr:row>23</xdr:row>
      <xdr:rowOff>0</xdr:rowOff>
    </xdr:from>
    <xdr:ext cx="123825" cy="842282"/>
    <xdr:sp macro="" textlink="">
      <xdr:nvSpPr>
        <xdr:cNvPr id="474" name="Text Box 219">
          <a:extLst>
            <a:ext uri="{FF2B5EF4-FFF2-40B4-BE49-F238E27FC236}">
              <a16:creationId xmlns:a16="http://schemas.microsoft.com/office/drawing/2014/main" id="{00000000-0008-0000-0F00-0000DA01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4</xdr:col>
      <xdr:colOff>0</xdr:colOff>
      <xdr:row>23</xdr:row>
      <xdr:rowOff>0</xdr:rowOff>
    </xdr:from>
    <xdr:ext cx="123825" cy="842282"/>
    <xdr:sp macro="" textlink="">
      <xdr:nvSpPr>
        <xdr:cNvPr id="475" name="Text Box 220">
          <a:extLst>
            <a:ext uri="{FF2B5EF4-FFF2-40B4-BE49-F238E27FC236}">
              <a16:creationId xmlns:a16="http://schemas.microsoft.com/office/drawing/2014/main" id="{00000000-0008-0000-0F00-0000DB01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4</xdr:col>
      <xdr:colOff>0</xdr:colOff>
      <xdr:row>23</xdr:row>
      <xdr:rowOff>0</xdr:rowOff>
    </xdr:from>
    <xdr:ext cx="123825" cy="842282"/>
    <xdr:sp macro="" textlink="">
      <xdr:nvSpPr>
        <xdr:cNvPr id="476" name="Text Box 221">
          <a:extLst>
            <a:ext uri="{FF2B5EF4-FFF2-40B4-BE49-F238E27FC236}">
              <a16:creationId xmlns:a16="http://schemas.microsoft.com/office/drawing/2014/main" id="{00000000-0008-0000-0F00-0000DC01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4</xdr:col>
      <xdr:colOff>0</xdr:colOff>
      <xdr:row>23</xdr:row>
      <xdr:rowOff>0</xdr:rowOff>
    </xdr:from>
    <xdr:ext cx="123825" cy="842282"/>
    <xdr:sp macro="" textlink="">
      <xdr:nvSpPr>
        <xdr:cNvPr id="477" name="Text Box 222">
          <a:extLst>
            <a:ext uri="{FF2B5EF4-FFF2-40B4-BE49-F238E27FC236}">
              <a16:creationId xmlns:a16="http://schemas.microsoft.com/office/drawing/2014/main" id="{00000000-0008-0000-0F00-0000DD01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4</xdr:col>
      <xdr:colOff>0</xdr:colOff>
      <xdr:row>23</xdr:row>
      <xdr:rowOff>0</xdr:rowOff>
    </xdr:from>
    <xdr:ext cx="123825" cy="842282"/>
    <xdr:sp macro="" textlink="">
      <xdr:nvSpPr>
        <xdr:cNvPr id="478" name="Text Box 223">
          <a:extLst>
            <a:ext uri="{FF2B5EF4-FFF2-40B4-BE49-F238E27FC236}">
              <a16:creationId xmlns:a16="http://schemas.microsoft.com/office/drawing/2014/main" id="{00000000-0008-0000-0F00-0000DE01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4</xdr:col>
      <xdr:colOff>0</xdr:colOff>
      <xdr:row>23</xdr:row>
      <xdr:rowOff>0</xdr:rowOff>
    </xdr:from>
    <xdr:ext cx="123825" cy="842282"/>
    <xdr:sp macro="" textlink="">
      <xdr:nvSpPr>
        <xdr:cNvPr id="479" name="Text Box 230">
          <a:extLst>
            <a:ext uri="{FF2B5EF4-FFF2-40B4-BE49-F238E27FC236}">
              <a16:creationId xmlns:a16="http://schemas.microsoft.com/office/drawing/2014/main" id="{00000000-0008-0000-0F00-0000DF01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4</xdr:col>
      <xdr:colOff>0</xdr:colOff>
      <xdr:row>23</xdr:row>
      <xdr:rowOff>0</xdr:rowOff>
    </xdr:from>
    <xdr:ext cx="123825" cy="842282"/>
    <xdr:sp macro="" textlink="">
      <xdr:nvSpPr>
        <xdr:cNvPr id="480" name="Text Box 231">
          <a:extLst>
            <a:ext uri="{FF2B5EF4-FFF2-40B4-BE49-F238E27FC236}">
              <a16:creationId xmlns:a16="http://schemas.microsoft.com/office/drawing/2014/main" id="{00000000-0008-0000-0F00-0000E001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4</xdr:col>
      <xdr:colOff>0</xdr:colOff>
      <xdr:row>23</xdr:row>
      <xdr:rowOff>0</xdr:rowOff>
    </xdr:from>
    <xdr:ext cx="123825" cy="842282"/>
    <xdr:sp macro="" textlink="">
      <xdr:nvSpPr>
        <xdr:cNvPr id="481" name="Text Box 232">
          <a:extLst>
            <a:ext uri="{FF2B5EF4-FFF2-40B4-BE49-F238E27FC236}">
              <a16:creationId xmlns:a16="http://schemas.microsoft.com/office/drawing/2014/main" id="{00000000-0008-0000-0F00-0000E101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4</xdr:col>
      <xdr:colOff>0</xdr:colOff>
      <xdr:row>23</xdr:row>
      <xdr:rowOff>0</xdr:rowOff>
    </xdr:from>
    <xdr:ext cx="123825" cy="842282"/>
    <xdr:sp macro="" textlink="">
      <xdr:nvSpPr>
        <xdr:cNvPr id="482" name="Text Box 233">
          <a:extLst>
            <a:ext uri="{FF2B5EF4-FFF2-40B4-BE49-F238E27FC236}">
              <a16:creationId xmlns:a16="http://schemas.microsoft.com/office/drawing/2014/main" id="{00000000-0008-0000-0F00-0000E201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4</xdr:col>
      <xdr:colOff>0</xdr:colOff>
      <xdr:row>23</xdr:row>
      <xdr:rowOff>0</xdr:rowOff>
    </xdr:from>
    <xdr:ext cx="123825" cy="842282"/>
    <xdr:sp macro="" textlink="">
      <xdr:nvSpPr>
        <xdr:cNvPr id="483" name="Text Box 234">
          <a:extLst>
            <a:ext uri="{FF2B5EF4-FFF2-40B4-BE49-F238E27FC236}">
              <a16:creationId xmlns:a16="http://schemas.microsoft.com/office/drawing/2014/main" id="{00000000-0008-0000-0F00-0000E301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8</xdr:col>
      <xdr:colOff>952500</xdr:colOff>
      <xdr:row>23</xdr:row>
      <xdr:rowOff>0</xdr:rowOff>
    </xdr:from>
    <xdr:ext cx="123825" cy="834118"/>
    <xdr:sp macro="" textlink="">
      <xdr:nvSpPr>
        <xdr:cNvPr id="484" name="Text Box 178">
          <a:extLst>
            <a:ext uri="{FF2B5EF4-FFF2-40B4-BE49-F238E27FC236}">
              <a16:creationId xmlns:a16="http://schemas.microsoft.com/office/drawing/2014/main" id="{00000000-0008-0000-0F00-0000E4010000}"/>
            </a:ext>
          </a:extLst>
        </xdr:cNvPr>
        <xdr:cNvSpPr txBox="1">
          <a:spLocks noChangeArrowheads="1"/>
        </xdr:cNvSpPr>
      </xdr:nvSpPr>
      <xdr:spPr bwMode="auto">
        <a:xfrm>
          <a:off x="6562725" y="10315575"/>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485" name="Text Box 180">
          <a:extLst>
            <a:ext uri="{FF2B5EF4-FFF2-40B4-BE49-F238E27FC236}">
              <a16:creationId xmlns:a16="http://schemas.microsoft.com/office/drawing/2014/main" id="{00000000-0008-0000-0F00-0000E5010000}"/>
            </a:ext>
          </a:extLst>
        </xdr:cNvPr>
        <xdr:cNvSpPr txBox="1">
          <a:spLocks noChangeArrowheads="1"/>
        </xdr:cNvSpPr>
      </xdr:nvSpPr>
      <xdr:spPr bwMode="auto">
        <a:xfrm>
          <a:off x="5610225" y="10315575"/>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486" name="Text Box 181">
          <a:extLst>
            <a:ext uri="{FF2B5EF4-FFF2-40B4-BE49-F238E27FC236}">
              <a16:creationId xmlns:a16="http://schemas.microsoft.com/office/drawing/2014/main" id="{00000000-0008-0000-0F00-0000E6010000}"/>
            </a:ext>
          </a:extLst>
        </xdr:cNvPr>
        <xdr:cNvSpPr txBox="1">
          <a:spLocks noChangeArrowheads="1"/>
        </xdr:cNvSpPr>
      </xdr:nvSpPr>
      <xdr:spPr bwMode="auto">
        <a:xfrm>
          <a:off x="5610225" y="10315575"/>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487" name="Text Box 182">
          <a:extLst>
            <a:ext uri="{FF2B5EF4-FFF2-40B4-BE49-F238E27FC236}">
              <a16:creationId xmlns:a16="http://schemas.microsoft.com/office/drawing/2014/main" id="{00000000-0008-0000-0F00-0000E7010000}"/>
            </a:ext>
          </a:extLst>
        </xdr:cNvPr>
        <xdr:cNvSpPr txBox="1">
          <a:spLocks noChangeArrowheads="1"/>
        </xdr:cNvSpPr>
      </xdr:nvSpPr>
      <xdr:spPr bwMode="auto">
        <a:xfrm>
          <a:off x="5610225" y="10315575"/>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488" name="Text Box 183">
          <a:extLst>
            <a:ext uri="{FF2B5EF4-FFF2-40B4-BE49-F238E27FC236}">
              <a16:creationId xmlns:a16="http://schemas.microsoft.com/office/drawing/2014/main" id="{00000000-0008-0000-0F00-0000E8010000}"/>
            </a:ext>
          </a:extLst>
        </xdr:cNvPr>
        <xdr:cNvSpPr txBox="1">
          <a:spLocks noChangeArrowheads="1"/>
        </xdr:cNvSpPr>
      </xdr:nvSpPr>
      <xdr:spPr bwMode="auto">
        <a:xfrm>
          <a:off x="5610225" y="10315575"/>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489" name="Text Box 184">
          <a:extLst>
            <a:ext uri="{FF2B5EF4-FFF2-40B4-BE49-F238E27FC236}">
              <a16:creationId xmlns:a16="http://schemas.microsoft.com/office/drawing/2014/main" id="{00000000-0008-0000-0F00-0000E9010000}"/>
            </a:ext>
          </a:extLst>
        </xdr:cNvPr>
        <xdr:cNvSpPr txBox="1">
          <a:spLocks noChangeArrowheads="1"/>
        </xdr:cNvSpPr>
      </xdr:nvSpPr>
      <xdr:spPr bwMode="auto">
        <a:xfrm>
          <a:off x="5610225" y="10315575"/>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490" name="Text Box 185">
          <a:extLst>
            <a:ext uri="{FF2B5EF4-FFF2-40B4-BE49-F238E27FC236}">
              <a16:creationId xmlns:a16="http://schemas.microsoft.com/office/drawing/2014/main" id="{00000000-0008-0000-0F00-0000EA010000}"/>
            </a:ext>
          </a:extLst>
        </xdr:cNvPr>
        <xdr:cNvSpPr txBox="1">
          <a:spLocks noChangeArrowheads="1"/>
        </xdr:cNvSpPr>
      </xdr:nvSpPr>
      <xdr:spPr bwMode="auto">
        <a:xfrm>
          <a:off x="5610225" y="10315575"/>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14300" cy="929368"/>
    <xdr:sp macro="" textlink="">
      <xdr:nvSpPr>
        <xdr:cNvPr id="491" name="Text Box 186">
          <a:extLst>
            <a:ext uri="{FF2B5EF4-FFF2-40B4-BE49-F238E27FC236}">
              <a16:creationId xmlns:a16="http://schemas.microsoft.com/office/drawing/2014/main" id="{00000000-0008-0000-0F00-0000EB010000}"/>
            </a:ext>
          </a:extLst>
        </xdr:cNvPr>
        <xdr:cNvSpPr txBox="1">
          <a:spLocks noChangeArrowheads="1"/>
        </xdr:cNvSpPr>
      </xdr:nvSpPr>
      <xdr:spPr bwMode="auto">
        <a:xfrm>
          <a:off x="5610225" y="10315575"/>
          <a:ext cx="114300" cy="929368"/>
        </a:xfrm>
        <a:prstGeom prst="rect">
          <a:avLst/>
        </a:prstGeom>
        <a:noFill/>
        <a:ln w="9525">
          <a:noFill/>
          <a:miter lim="800000"/>
          <a:headEnd/>
          <a:tailEnd/>
        </a:ln>
      </xdr:spPr>
    </xdr:sp>
    <xdr:clientData/>
  </xdr:oneCellAnchor>
  <xdr:oneCellAnchor>
    <xdr:from>
      <xdr:col>8</xdr:col>
      <xdr:colOff>0</xdr:colOff>
      <xdr:row>23</xdr:row>
      <xdr:rowOff>0</xdr:rowOff>
    </xdr:from>
    <xdr:ext cx="114300" cy="929368"/>
    <xdr:sp macro="" textlink="">
      <xdr:nvSpPr>
        <xdr:cNvPr id="492" name="Text Box 187">
          <a:extLst>
            <a:ext uri="{FF2B5EF4-FFF2-40B4-BE49-F238E27FC236}">
              <a16:creationId xmlns:a16="http://schemas.microsoft.com/office/drawing/2014/main" id="{00000000-0008-0000-0F00-0000EC010000}"/>
            </a:ext>
          </a:extLst>
        </xdr:cNvPr>
        <xdr:cNvSpPr txBox="1">
          <a:spLocks noChangeArrowheads="1"/>
        </xdr:cNvSpPr>
      </xdr:nvSpPr>
      <xdr:spPr bwMode="auto">
        <a:xfrm>
          <a:off x="5610225" y="10315575"/>
          <a:ext cx="114300" cy="929368"/>
        </a:xfrm>
        <a:prstGeom prst="rect">
          <a:avLst/>
        </a:prstGeom>
        <a:noFill/>
        <a:ln w="9525">
          <a:noFill/>
          <a:miter lim="800000"/>
          <a:headEnd/>
          <a:tailEnd/>
        </a:ln>
      </xdr:spPr>
    </xdr:sp>
    <xdr:clientData/>
  </xdr:oneCellAnchor>
  <xdr:oneCellAnchor>
    <xdr:from>
      <xdr:col>8</xdr:col>
      <xdr:colOff>0</xdr:colOff>
      <xdr:row>23</xdr:row>
      <xdr:rowOff>0</xdr:rowOff>
    </xdr:from>
    <xdr:ext cx="123825" cy="929368"/>
    <xdr:sp macro="" textlink="">
      <xdr:nvSpPr>
        <xdr:cNvPr id="493" name="Text Box 188">
          <a:extLst>
            <a:ext uri="{FF2B5EF4-FFF2-40B4-BE49-F238E27FC236}">
              <a16:creationId xmlns:a16="http://schemas.microsoft.com/office/drawing/2014/main" id="{00000000-0008-0000-0F00-0000ED010000}"/>
            </a:ext>
          </a:extLst>
        </xdr:cNvPr>
        <xdr:cNvSpPr txBox="1">
          <a:spLocks noChangeArrowheads="1"/>
        </xdr:cNvSpPr>
      </xdr:nvSpPr>
      <xdr:spPr bwMode="auto">
        <a:xfrm>
          <a:off x="5610225" y="10315575"/>
          <a:ext cx="123825" cy="929368"/>
        </a:xfrm>
        <a:prstGeom prst="rect">
          <a:avLst/>
        </a:prstGeom>
        <a:noFill/>
        <a:ln w="9525">
          <a:noFill/>
          <a:miter lim="800000"/>
          <a:headEnd/>
          <a:tailEnd/>
        </a:ln>
      </xdr:spPr>
    </xdr:sp>
    <xdr:clientData/>
  </xdr:oneCellAnchor>
  <xdr:oneCellAnchor>
    <xdr:from>
      <xdr:col>8</xdr:col>
      <xdr:colOff>0</xdr:colOff>
      <xdr:row>23</xdr:row>
      <xdr:rowOff>0</xdr:rowOff>
    </xdr:from>
    <xdr:ext cx="123825" cy="929368"/>
    <xdr:sp macro="" textlink="">
      <xdr:nvSpPr>
        <xdr:cNvPr id="494" name="Text Box 189">
          <a:extLst>
            <a:ext uri="{FF2B5EF4-FFF2-40B4-BE49-F238E27FC236}">
              <a16:creationId xmlns:a16="http://schemas.microsoft.com/office/drawing/2014/main" id="{00000000-0008-0000-0F00-0000EE010000}"/>
            </a:ext>
          </a:extLst>
        </xdr:cNvPr>
        <xdr:cNvSpPr txBox="1">
          <a:spLocks noChangeArrowheads="1"/>
        </xdr:cNvSpPr>
      </xdr:nvSpPr>
      <xdr:spPr bwMode="auto">
        <a:xfrm>
          <a:off x="5610225" y="10315575"/>
          <a:ext cx="123825" cy="929368"/>
        </a:xfrm>
        <a:prstGeom prst="rect">
          <a:avLst/>
        </a:prstGeom>
        <a:noFill/>
        <a:ln w="9525">
          <a:noFill/>
          <a:miter lim="800000"/>
          <a:headEnd/>
          <a:tailEnd/>
        </a:ln>
      </xdr:spPr>
    </xdr:sp>
    <xdr:clientData/>
  </xdr:oneCellAnchor>
  <xdr:oneCellAnchor>
    <xdr:from>
      <xdr:col>8</xdr:col>
      <xdr:colOff>0</xdr:colOff>
      <xdr:row>23</xdr:row>
      <xdr:rowOff>0</xdr:rowOff>
    </xdr:from>
    <xdr:ext cx="123825" cy="929368"/>
    <xdr:sp macro="" textlink="">
      <xdr:nvSpPr>
        <xdr:cNvPr id="495" name="Text Box 190">
          <a:extLst>
            <a:ext uri="{FF2B5EF4-FFF2-40B4-BE49-F238E27FC236}">
              <a16:creationId xmlns:a16="http://schemas.microsoft.com/office/drawing/2014/main" id="{00000000-0008-0000-0F00-0000EF010000}"/>
            </a:ext>
          </a:extLst>
        </xdr:cNvPr>
        <xdr:cNvSpPr txBox="1">
          <a:spLocks noChangeArrowheads="1"/>
        </xdr:cNvSpPr>
      </xdr:nvSpPr>
      <xdr:spPr bwMode="auto">
        <a:xfrm>
          <a:off x="5610225" y="10315575"/>
          <a:ext cx="123825" cy="929368"/>
        </a:xfrm>
        <a:prstGeom prst="rect">
          <a:avLst/>
        </a:prstGeom>
        <a:noFill/>
        <a:ln w="9525">
          <a:noFill/>
          <a:miter lim="800000"/>
          <a:headEnd/>
          <a:tailEnd/>
        </a:ln>
      </xdr:spPr>
    </xdr:sp>
    <xdr:clientData/>
  </xdr:oneCellAnchor>
  <xdr:oneCellAnchor>
    <xdr:from>
      <xdr:col>8</xdr:col>
      <xdr:colOff>0</xdr:colOff>
      <xdr:row>23</xdr:row>
      <xdr:rowOff>0</xdr:rowOff>
    </xdr:from>
    <xdr:ext cx="123825" cy="929368"/>
    <xdr:sp macro="" textlink="">
      <xdr:nvSpPr>
        <xdr:cNvPr id="496" name="Text Box 191">
          <a:extLst>
            <a:ext uri="{FF2B5EF4-FFF2-40B4-BE49-F238E27FC236}">
              <a16:creationId xmlns:a16="http://schemas.microsoft.com/office/drawing/2014/main" id="{00000000-0008-0000-0F00-0000F0010000}"/>
            </a:ext>
          </a:extLst>
        </xdr:cNvPr>
        <xdr:cNvSpPr txBox="1">
          <a:spLocks noChangeArrowheads="1"/>
        </xdr:cNvSpPr>
      </xdr:nvSpPr>
      <xdr:spPr bwMode="auto">
        <a:xfrm>
          <a:off x="5610225" y="10315575"/>
          <a:ext cx="123825" cy="92936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497" name="Text Box 192">
          <a:extLst>
            <a:ext uri="{FF2B5EF4-FFF2-40B4-BE49-F238E27FC236}">
              <a16:creationId xmlns:a16="http://schemas.microsoft.com/office/drawing/2014/main" id="{00000000-0008-0000-0F00-0000F1010000}"/>
            </a:ext>
          </a:extLst>
        </xdr:cNvPr>
        <xdr:cNvSpPr txBox="1">
          <a:spLocks noChangeArrowheads="1"/>
        </xdr:cNvSpPr>
      </xdr:nvSpPr>
      <xdr:spPr bwMode="auto">
        <a:xfrm>
          <a:off x="5610225" y="10315575"/>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498" name="Text Box 193">
          <a:extLst>
            <a:ext uri="{FF2B5EF4-FFF2-40B4-BE49-F238E27FC236}">
              <a16:creationId xmlns:a16="http://schemas.microsoft.com/office/drawing/2014/main" id="{00000000-0008-0000-0F00-0000F2010000}"/>
            </a:ext>
          </a:extLst>
        </xdr:cNvPr>
        <xdr:cNvSpPr txBox="1">
          <a:spLocks noChangeArrowheads="1"/>
        </xdr:cNvSpPr>
      </xdr:nvSpPr>
      <xdr:spPr bwMode="auto">
        <a:xfrm>
          <a:off x="5610225" y="10315575"/>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499" name="Text Box 194">
          <a:extLst>
            <a:ext uri="{FF2B5EF4-FFF2-40B4-BE49-F238E27FC236}">
              <a16:creationId xmlns:a16="http://schemas.microsoft.com/office/drawing/2014/main" id="{00000000-0008-0000-0F00-0000F3010000}"/>
            </a:ext>
          </a:extLst>
        </xdr:cNvPr>
        <xdr:cNvSpPr txBox="1">
          <a:spLocks noChangeArrowheads="1"/>
        </xdr:cNvSpPr>
      </xdr:nvSpPr>
      <xdr:spPr bwMode="auto">
        <a:xfrm>
          <a:off x="5610225" y="10315575"/>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500" name="Text Box 195">
          <a:extLst>
            <a:ext uri="{FF2B5EF4-FFF2-40B4-BE49-F238E27FC236}">
              <a16:creationId xmlns:a16="http://schemas.microsoft.com/office/drawing/2014/main" id="{00000000-0008-0000-0F00-0000F4010000}"/>
            </a:ext>
          </a:extLst>
        </xdr:cNvPr>
        <xdr:cNvSpPr txBox="1">
          <a:spLocks noChangeArrowheads="1"/>
        </xdr:cNvSpPr>
      </xdr:nvSpPr>
      <xdr:spPr bwMode="auto">
        <a:xfrm>
          <a:off x="5610225" y="10315575"/>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501" name="Text Box 196">
          <a:extLst>
            <a:ext uri="{FF2B5EF4-FFF2-40B4-BE49-F238E27FC236}">
              <a16:creationId xmlns:a16="http://schemas.microsoft.com/office/drawing/2014/main" id="{00000000-0008-0000-0F00-0000F5010000}"/>
            </a:ext>
          </a:extLst>
        </xdr:cNvPr>
        <xdr:cNvSpPr txBox="1">
          <a:spLocks noChangeArrowheads="1"/>
        </xdr:cNvSpPr>
      </xdr:nvSpPr>
      <xdr:spPr bwMode="auto">
        <a:xfrm>
          <a:off x="5610225" y="10315575"/>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02" name="Text Box 197">
          <a:extLst>
            <a:ext uri="{FF2B5EF4-FFF2-40B4-BE49-F238E27FC236}">
              <a16:creationId xmlns:a16="http://schemas.microsoft.com/office/drawing/2014/main" id="{00000000-0008-0000-0F00-0000F601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03" name="Text Box 198">
          <a:extLst>
            <a:ext uri="{FF2B5EF4-FFF2-40B4-BE49-F238E27FC236}">
              <a16:creationId xmlns:a16="http://schemas.microsoft.com/office/drawing/2014/main" id="{00000000-0008-0000-0F00-0000F701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04" name="Text Box 199">
          <a:extLst>
            <a:ext uri="{FF2B5EF4-FFF2-40B4-BE49-F238E27FC236}">
              <a16:creationId xmlns:a16="http://schemas.microsoft.com/office/drawing/2014/main" id="{00000000-0008-0000-0F00-0000F801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05" name="Text Box 200">
          <a:extLst>
            <a:ext uri="{FF2B5EF4-FFF2-40B4-BE49-F238E27FC236}">
              <a16:creationId xmlns:a16="http://schemas.microsoft.com/office/drawing/2014/main" id="{00000000-0008-0000-0F00-0000F901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06" name="Text Box 201">
          <a:extLst>
            <a:ext uri="{FF2B5EF4-FFF2-40B4-BE49-F238E27FC236}">
              <a16:creationId xmlns:a16="http://schemas.microsoft.com/office/drawing/2014/main" id="{00000000-0008-0000-0F00-0000FA01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07" name="Text Box 202">
          <a:extLst>
            <a:ext uri="{FF2B5EF4-FFF2-40B4-BE49-F238E27FC236}">
              <a16:creationId xmlns:a16="http://schemas.microsoft.com/office/drawing/2014/main" id="{00000000-0008-0000-0F00-0000FB01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08" name="Text Box 203">
          <a:extLst>
            <a:ext uri="{FF2B5EF4-FFF2-40B4-BE49-F238E27FC236}">
              <a16:creationId xmlns:a16="http://schemas.microsoft.com/office/drawing/2014/main" id="{00000000-0008-0000-0F00-0000FC01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09" name="Text Box 204">
          <a:extLst>
            <a:ext uri="{FF2B5EF4-FFF2-40B4-BE49-F238E27FC236}">
              <a16:creationId xmlns:a16="http://schemas.microsoft.com/office/drawing/2014/main" id="{00000000-0008-0000-0F00-0000FD01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14300" cy="945696"/>
    <xdr:sp macro="" textlink="">
      <xdr:nvSpPr>
        <xdr:cNvPr id="510" name="Text Box 205">
          <a:extLst>
            <a:ext uri="{FF2B5EF4-FFF2-40B4-BE49-F238E27FC236}">
              <a16:creationId xmlns:a16="http://schemas.microsoft.com/office/drawing/2014/main" id="{00000000-0008-0000-0F00-0000FE010000}"/>
            </a:ext>
          </a:extLst>
        </xdr:cNvPr>
        <xdr:cNvSpPr txBox="1">
          <a:spLocks noChangeArrowheads="1"/>
        </xdr:cNvSpPr>
      </xdr:nvSpPr>
      <xdr:spPr bwMode="auto">
        <a:xfrm>
          <a:off x="5610225" y="10315575"/>
          <a:ext cx="114300" cy="945696"/>
        </a:xfrm>
        <a:prstGeom prst="rect">
          <a:avLst/>
        </a:prstGeom>
        <a:noFill/>
        <a:ln w="9525">
          <a:noFill/>
          <a:miter lim="800000"/>
          <a:headEnd/>
          <a:tailEnd/>
        </a:ln>
      </xdr:spPr>
    </xdr:sp>
    <xdr:clientData/>
  </xdr:oneCellAnchor>
  <xdr:oneCellAnchor>
    <xdr:from>
      <xdr:col>8</xdr:col>
      <xdr:colOff>0</xdr:colOff>
      <xdr:row>23</xdr:row>
      <xdr:rowOff>0</xdr:rowOff>
    </xdr:from>
    <xdr:ext cx="114300" cy="945696"/>
    <xdr:sp macro="" textlink="">
      <xdr:nvSpPr>
        <xdr:cNvPr id="511" name="Text Box 206">
          <a:extLst>
            <a:ext uri="{FF2B5EF4-FFF2-40B4-BE49-F238E27FC236}">
              <a16:creationId xmlns:a16="http://schemas.microsoft.com/office/drawing/2014/main" id="{00000000-0008-0000-0F00-0000FF010000}"/>
            </a:ext>
          </a:extLst>
        </xdr:cNvPr>
        <xdr:cNvSpPr txBox="1">
          <a:spLocks noChangeArrowheads="1"/>
        </xdr:cNvSpPr>
      </xdr:nvSpPr>
      <xdr:spPr bwMode="auto">
        <a:xfrm>
          <a:off x="5610225" y="10315575"/>
          <a:ext cx="114300" cy="945696"/>
        </a:xfrm>
        <a:prstGeom prst="rect">
          <a:avLst/>
        </a:prstGeom>
        <a:noFill/>
        <a:ln w="9525">
          <a:noFill/>
          <a:miter lim="800000"/>
          <a:headEnd/>
          <a:tailEnd/>
        </a:ln>
      </xdr:spPr>
    </xdr:sp>
    <xdr:clientData/>
  </xdr:oneCellAnchor>
  <xdr:oneCellAnchor>
    <xdr:from>
      <xdr:col>8</xdr:col>
      <xdr:colOff>0</xdr:colOff>
      <xdr:row>23</xdr:row>
      <xdr:rowOff>0</xdr:rowOff>
    </xdr:from>
    <xdr:ext cx="123825" cy="945696"/>
    <xdr:sp macro="" textlink="">
      <xdr:nvSpPr>
        <xdr:cNvPr id="512" name="Text Box 207">
          <a:extLst>
            <a:ext uri="{FF2B5EF4-FFF2-40B4-BE49-F238E27FC236}">
              <a16:creationId xmlns:a16="http://schemas.microsoft.com/office/drawing/2014/main" id="{00000000-0008-0000-0F00-000000020000}"/>
            </a:ext>
          </a:extLst>
        </xdr:cNvPr>
        <xdr:cNvSpPr txBox="1">
          <a:spLocks noChangeArrowheads="1"/>
        </xdr:cNvSpPr>
      </xdr:nvSpPr>
      <xdr:spPr bwMode="auto">
        <a:xfrm>
          <a:off x="5610225" y="10315575"/>
          <a:ext cx="123825" cy="945696"/>
        </a:xfrm>
        <a:prstGeom prst="rect">
          <a:avLst/>
        </a:prstGeom>
        <a:noFill/>
        <a:ln w="9525">
          <a:noFill/>
          <a:miter lim="800000"/>
          <a:headEnd/>
          <a:tailEnd/>
        </a:ln>
      </xdr:spPr>
    </xdr:sp>
    <xdr:clientData/>
  </xdr:oneCellAnchor>
  <xdr:oneCellAnchor>
    <xdr:from>
      <xdr:col>8</xdr:col>
      <xdr:colOff>0</xdr:colOff>
      <xdr:row>23</xdr:row>
      <xdr:rowOff>0</xdr:rowOff>
    </xdr:from>
    <xdr:ext cx="123825" cy="945696"/>
    <xdr:sp macro="" textlink="">
      <xdr:nvSpPr>
        <xdr:cNvPr id="513" name="Text Box 208">
          <a:extLst>
            <a:ext uri="{FF2B5EF4-FFF2-40B4-BE49-F238E27FC236}">
              <a16:creationId xmlns:a16="http://schemas.microsoft.com/office/drawing/2014/main" id="{00000000-0008-0000-0F00-000001020000}"/>
            </a:ext>
          </a:extLst>
        </xdr:cNvPr>
        <xdr:cNvSpPr txBox="1">
          <a:spLocks noChangeArrowheads="1"/>
        </xdr:cNvSpPr>
      </xdr:nvSpPr>
      <xdr:spPr bwMode="auto">
        <a:xfrm>
          <a:off x="5610225" y="10315575"/>
          <a:ext cx="123825" cy="945696"/>
        </a:xfrm>
        <a:prstGeom prst="rect">
          <a:avLst/>
        </a:prstGeom>
        <a:noFill/>
        <a:ln w="9525">
          <a:noFill/>
          <a:miter lim="800000"/>
          <a:headEnd/>
          <a:tailEnd/>
        </a:ln>
      </xdr:spPr>
    </xdr:sp>
    <xdr:clientData/>
  </xdr:oneCellAnchor>
  <xdr:oneCellAnchor>
    <xdr:from>
      <xdr:col>8</xdr:col>
      <xdr:colOff>0</xdr:colOff>
      <xdr:row>23</xdr:row>
      <xdr:rowOff>0</xdr:rowOff>
    </xdr:from>
    <xdr:ext cx="123825" cy="945696"/>
    <xdr:sp macro="" textlink="">
      <xdr:nvSpPr>
        <xdr:cNvPr id="514" name="Text Box 209">
          <a:extLst>
            <a:ext uri="{FF2B5EF4-FFF2-40B4-BE49-F238E27FC236}">
              <a16:creationId xmlns:a16="http://schemas.microsoft.com/office/drawing/2014/main" id="{00000000-0008-0000-0F00-000002020000}"/>
            </a:ext>
          </a:extLst>
        </xdr:cNvPr>
        <xdr:cNvSpPr txBox="1">
          <a:spLocks noChangeArrowheads="1"/>
        </xdr:cNvSpPr>
      </xdr:nvSpPr>
      <xdr:spPr bwMode="auto">
        <a:xfrm>
          <a:off x="5610225" y="10315575"/>
          <a:ext cx="123825" cy="945696"/>
        </a:xfrm>
        <a:prstGeom prst="rect">
          <a:avLst/>
        </a:prstGeom>
        <a:noFill/>
        <a:ln w="9525">
          <a:noFill/>
          <a:miter lim="800000"/>
          <a:headEnd/>
          <a:tailEnd/>
        </a:ln>
      </xdr:spPr>
    </xdr:sp>
    <xdr:clientData/>
  </xdr:oneCellAnchor>
  <xdr:oneCellAnchor>
    <xdr:from>
      <xdr:col>8</xdr:col>
      <xdr:colOff>0</xdr:colOff>
      <xdr:row>23</xdr:row>
      <xdr:rowOff>0</xdr:rowOff>
    </xdr:from>
    <xdr:ext cx="123825" cy="945696"/>
    <xdr:sp macro="" textlink="">
      <xdr:nvSpPr>
        <xdr:cNvPr id="515" name="Text Box 210">
          <a:extLst>
            <a:ext uri="{FF2B5EF4-FFF2-40B4-BE49-F238E27FC236}">
              <a16:creationId xmlns:a16="http://schemas.microsoft.com/office/drawing/2014/main" id="{00000000-0008-0000-0F00-000003020000}"/>
            </a:ext>
          </a:extLst>
        </xdr:cNvPr>
        <xdr:cNvSpPr txBox="1">
          <a:spLocks noChangeArrowheads="1"/>
        </xdr:cNvSpPr>
      </xdr:nvSpPr>
      <xdr:spPr bwMode="auto">
        <a:xfrm>
          <a:off x="5610225" y="10315575"/>
          <a:ext cx="123825" cy="9456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16" name="Text Box 211">
          <a:extLst>
            <a:ext uri="{FF2B5EF4-FFF2-40B4-BE49-F238E27FC236}">
              <a16:creationId xmlns:a16="http://schemas.microsoft.com/office/drawing/2014/main" id="{00000000-0008-0000-0F00-000004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17" name="Text Box 212">
          <a:extLst>
            <a:ext uri="{FF2B5EF4-FFF2-40B4-BE49-F238E27FC236}">
              <a16:creationId xmlns:a16="http://schemas.microsoft.com/office/drawing/2014/main" id="{00000000-0008-0000-0F00-000005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18" name="Text Box 213">
          <a:extLst>
            <a:ext uri="{FF2B5EF4-FFF2-40B4-BE49-F238E27FC236}">
              <a16:creationId xmlns:a16="http://schemas.microsoft.com/office/drawing/2014/main" id="{00000000-0008-0000-0F00-000006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19" name="Text Box 214">
          <a:extLst>
            <a:ext uri="{FF2B5EF4-FFF2-40B4-BE49-F238E27FC236}">
              <a16:creationId xmlns:a16="http://schemas.microsoft.com/office/drawing/2014/main" id="{00000000-0008-0000-0F00-000007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520" name="Text Box 216">
          <a:extLst>
            <a:ext uri="{FF2B5EF4-FFF2-40B4-BE49-F238E27FC236}">
              <a16:creationId xmlns:a16="http://schemas.microsoft.com/office/drawing/2014/main" id="{00000000-0008-0000-0F00-000008020000}"/>
            </a:ext>
          </a:extLst>
        </xdr:cNvPr>
        <xdr:cNvSpPr txBox="1">
          <a:spLocks noChangeArrowheads="1"/>
        </xdr:cNvSpPr>
      </xdr:nvSpPr>
      <xdr:spPr bwMode="auto">
        <a:xfrm>
          <a:off x="5610225" y="10315575"/>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521" name="Text Box 217">
          <a:extLst>
            <a:ext uri="{FF2B5EF4-FFF2-40B4-BE49-F238E27FC236}">
              <a16:creationId xmlns:a16="http://schemas.microsoft.com/office/drawing/2014/main" id="{00000000-0008-0000-0F00-000009020000}"/>
            </a:ext>
          </a:extLst>
        </xdr:cNvPr>
        <xdr:cNvSpPr txBox="1">
          <a:spLocks noChangeArrowheads="1"/>
        </xdr:cNvSpPr>
      </xdr:nvSpPr>
      <xdr:spPr bwMode="auto">
        <a:xfrm>
          <a:off x="5610225" y="10315575"/>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522" name="Text Box 218">
          <a:extLst>
            <a:ext uri="{FF2B5EF4-FFF2-40B4-BE49-F238E27FC236}">
              <a16:creationId xmlns:a16="http://schemas.microsoft.com/office/drawing/2014/main" id="{00000000-0008-0000-0F00-00000A020000}"/>
            </a:ext>
          </a:extLst>
        </xdr:cNvPr>
        <xdr:cNvSpPr txBox="1">
          <a:spLocks noChangeArrowheads="1"/>
        </xdr:cNvSpPr>
      </xdr:nvSpPr>
      <xdr:spPr bwMode="auto">
        <a:xfrm>
          <a:off x="5610225" y="10315575"/>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523" name="Text Box 219">
          <a:extLst>
            <a:ext uri="{FF2B5EF4-FFF2-40B4-BE49-F238E27FC236}">
              <a16:creationId xmlns:a16="http://schemas.microsoft.com/office/drawing/2014/main" id="{00000000-0008-0000-0F00-00000B020000}"/>
            </a:ext>
          </a:extLst>
        </xdr:cNvPr>
        <xdr:cNvSpPr txBox="1">
          <a:spLocks noChangeArrowheads="1"/>
        </xdr:cNvSpPr>
      </xdr:nvSpPr>
      <xdr:spPr bwMode="auto">
        <a:xfrm>
          <a:off x="5610225" y="10315575"/>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524" name="Text Box 220">
          <a:extLst>
            <a:ext uri="{FF2B5EF4-FFF2-40B4-BE49-F238E27FC236}">
              <a16:creationId xmlns:a16="http://schemas.microsoft.com/office/drawing/2014/main" id="{00000000-0008-0000-0F00-00000C020000}"/>
            </a:ext>
          </a:extLst>
        </xdr:cNvPr>
        <xdr:cNvSpPr txBox="1">
          <a:spLocks noChangeArrowheads="1"/>
        </xdr:cNvSpPr>
      </xdr:nvSpPr>
      <xdr:spPr bwMode="auto">
        <a:xfrm>
          <a:off x="5610225" y="10315575"/>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525" name="Text Box 221">
          <a:extLst>
            <a:ext uri="{FF2B5EF4-FFF2-40B4-BE49-F238E27FC236}">
              <a16:creationId xmlns:a16="http://schemas.microsoft.com/office/drawing/2014/main" id="{00000000-0008-0000-0F00-00000D020000}"/>
            </a:ext>
          </a:extLst>
        </xdr:cNvPr>
        <xdr:cNvSpPr txBox="1">
          <a:spLocks noChangeArrowheads="1"/>
        </xdr:cNvSpPr>
      </xdr:nvSpPr>
      <xdr:spPr bwMode="auto">
        <a:xfrm>
          <a:off x="5610225" y="10315575"/>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526" name="Text Box 222">
          <a:extLst>
            <a:ext uri="{FF2B5EF4-FFF2-40B4-BE49-F238E27FC236}">
              <a16:creationId xmlns:a16="http://schemas.microsoft.com/office/drawing/2014/main" id="{00000000-0008-0000-0F00-00000E020000}"/>
            </a:ext>
          </a:extLst>
        </xdr:cNvPr>
        <xdr:cNvSpPr txBox="1">
          <a:spLocks noChangeArrowheads="1"/>
        </xdr:cNvSpPr>
      </xdr:nvSpPr>
      <xdr:spPr bwMode="auto">
        <a:xfrm>
          <a:off x="5610225" y="10315575"/>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527" name="Text Box 223">
          <a:extLst>
            <a:ext uri="{FF2B5EF4-FFF2-40B4-BE49-F238E27FC236}">
              <a16:creationId xmlns:a16="http://schemas.microsoft.com/office/drawing/2014/main" id="{00000000-0008-0000-0F00-00000F020000}"/>
            </a:ext>
          </a:extLst>
        </xdr:cNvPr>
        <xdr:cNvSpPr txBox="1">
          <a:spLocks noChangeArrowheads="1"/>
        </xdr:cNvSpPr>
      </xdr:nvSpPr>
      <xdr:spPr bwMode="auto">
        <a:xfrm>
          <a:off x="5610225" y="10315575"/>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528" name="Text Box 230">
          <a:extLst>
            <a:ext uri="{FF2B5EF4-FFF2-40B4-BE49-F238E27FC236}">
              <a16:creationId xmlns:a16="http://schemas.microsoft.com/office/drawing/2014/main" id="{00000000-0008-0000-0F00-000010020000}"/>
            </a:ext>
          </a:extLst>
        </xdr:cNvPr>
        <xdr:cNvSpPr txBox="1">
          <a:spLocks noChangeArrowheads="1"/>
        </xdr:cNvSpPr>
      </xdr:nvSpPr>
      <xdr:spPr bwMode="auto">
        <a:xfrm>
          <a:off x="5610225" y="10315575"/>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529" name="Text Box 231">
          <a:extLst>
            <a:ext uri="{FF2B5EF4-FFF2-40B4-BE49-F238E27FC236}">
              <a16:creationId xmlns:a16="http://schemas.microsoft.com/office/drawing/2014/main" id="{00000000-0008-0000-0F00-000011020000}"/>
            </a:ext>
          </a:extLst>
        </xdr:cNvPr>
        <xdr:cNvSpPr txBox="1">
          <a:spLocks noChangeArrowheads="1"/>
        </xdr:cNvSpPr>
      </xdr:nvSpPr>
      <xdr:spPr bwMode="auto">
        <a:xfrm>
          <a:off x="5610225" y="10315575"/>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530" name="Text Box 232">
          <a:extLst>
            <a:ext uri="{FF2B5EF4-FFF2-40B4-BE49-F238E27FC236}">
              <a16:creationId xmlns:a16="http://schemas.microsoft.com/office/drawing/2014/main" id="{00000000-0008-0000-0F00-000012020000}"/>
            </a:ext>
          </a:extLst>
        </xdr:cNvPr>
        <xdr:cNvSpPr txBox="1">
          <a:spLocks noChangeArrowheads="1"/>
        </xdr:cNvSpPr>
      </xdr:nvSpPr>
      <xdr:spPr bwMode="auto">
        <a:xfrm>
          <a:off x="5610225" y="10315575"/>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531" name="Text Box 233">
          <a:extLst>
            <a:ext uri="{FF2B5EF4-FFF2-40B4-BE49-F238E27FC236}">
              <a16:creationId xmlns:a16="http://schemas.microsoft.com/office/drawing/2014/main" id="{00000000-0008-0000-0F00-000013020000}"/>
            </a:ext>
          </a:extLst>
        </xdr:cNvPr>
        <xdr:cNvSpPr txBox="1">
          <a:spLocks noChangeArrowheads="1"/>
        </xdr:cNvSpPr>
      </xdr:nvSpPr>
      <xdr:spPr bwMode="auto">
        <a:xfrm>
          <a:off x="5610225" y="10315575"/>
          <a:ext cx="123825" cy="842282"/>
        </a:xfrm>
        <a:prstGeom prst="rect">
          <a:avLst/>
        </a:prstGeom>
        <a:noFill/>
        <a:ln w="9525">
          <a:noFill/>
          <a:miter lim="800000"/>
          <a:headEnd/>
          <a:tailEnd/>
        </a:ln>
      </xdr:spPr>
    </xdr:sp>
    <xdr:clientData/>
  </xdr:oneCellAnchor>
  <xdr:oneCellAnchor>
    <xdr:from>
      <xdr:col>5</xdr:col>
      <xdr:colOff>0</xdr:colOff>
      <xdr:row>23</xdr:row>
      <xdr:rowOff>0</xdr:rowOff>
    </xdr:from>
    <xdr:ext cx="123825" cy="842282"/>
    <xdr:sp macro="" textlink="">
      <xdr:nvSpPr>
        <xdr:cNvPr id="532" name="Text Box 216">
          <a:extLst>
            <a:ext uri="{FF2B5EF4-FFF2-40B4-BE49-F238E27FC236}">
              <a16:creationId xmlns:a16="http://schemas.microsoft.com/office/drawing/2014/main" id="{00000000-0008-0000-0F00-00001402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5</xdr:col>
      <xdr:colOff>0</xdr:colOff>
      <xdr:row>23</xdr:row>
      <xdr:rowOff>0</xdr:rowOff>
    </xdr:from>
    <xdr:ext cx="123825" cy="842282"/>
    <xdr:sp macro="" textlink="">
      <xdr:nvSpPr>
        <xdr:cNvPr id="533" name="Text Box 217">
          <a:extLst>
            <a:ext uri="{FF2B5EF4-FFF2-40B4-BE49-F238E27FC236}">
              <a16:creationId xmlns:a16="http://schemas.microsoft.com/office/drawing/2014/main" id="{00000000-0008-0000-0F00-00001502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5</xdr:col>
      <xdr:colOff>0</xdr:colOff>
      <xdr:row>23</xdr:row>
      <xdr:rowOff>0</xdr:rowOff>
    </xdr:from>
    <xdr:ext cx="123825" cy="842282"/>
    <xdr:sp macro="" textlink="">
      <xdr:nvSpPr>
        <xdr:cNvPr id="534" name="Text Box 218">
          <a:extLst>
            <a:ext uri="{FF2B5EF4-FFF2-40B4-BE49-F238E27FC236}">
              <a16:creationId xmlns:a16="http://schemas.microsoft.com/office/drawing/2014/main" id="{00000000-0008-0000-0F00-00001602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5</xdr:col>
      <xdr:colOff>0</xdr:colOff>
      <xdr:row>23</xdr:row>
      <xdr:rowOff>0</xdr:rowOff>
    </xdr:from>
    <xdr:ext cx="123825" cy="842282"/>
    <xdr:sp macro="" textlink="">
      <xdr:nvSpPr>
        <xdr:cNvPr id="535" name="Text Box 219">
          <a:extLst>
            <a:ext uri="{FF2B5EF4-FFF2-40B4-BE49-F238E27FC236}">
              <a16:creationId xmlns:a16="http://schemas.microsoft.com/office/drawing/2014/main" id="{00000000-0008-0000-0F00-00001702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5</xdr:col>
      <xdr:colOff>0</xdr:colOff>
      <xdr:row>23</xdr:row>
      <xdr:rowOff>0</xdr:rowOff>
    </xdr:from>
    <xdr:ext cx="123825" cy="842282"/>
    <xdr:sp macro="" textlink="">
      <xdr:nvSpPr>
        <xdr:cNvPr id="536" name="Text Box 220">
          <a:extLst>
            <a:ext uri="{FF2B5EF4-FFF2-40B4-BE49-F238E27FC236}">
              <a16:creationId xmlns:a16="http://schemas.microsoft.com/office/drawing/2014/main" id="{00000000-0008-0000-0F00-00001802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5</xdr:col>
      <xdr:colOff>0</xdr:colOff>
      <xdr:row>23</xdr:row>
      <xdr:rowOff>0</xdr:rowOff>
    </xdr:from>
    <xdr:ext cx="123825" cy="842282"/>
    <xdr:sp macro="" textlink="">
      <xdr:nvSpPr>
        <xdr:cNvPr id="537" name="Text Box 221">
          <a:extLst>
            <a:ext uri="{FF2B5EF4-FFF2-40B4-BE49-F238E27FC236}">
              <a16:creationId xmlns:a16="http://schemas.microsoft.com/office/drawing/2014/main" id="{00000000-0008-0000-0F00-00001902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5</xdr:col>
      <xdr:colOff>0</xdr:colOff>
      <xdr:row>23</xdr:row>
      <xdr:rowOff>0</xdr:rowOff>
    </xdr:from>
    <xdr:ext cx="123825" cy="842282"/>
    <xdr:sp macro="" textlink="">
      <xdr:nvSpPr>
        <xdr:cNvPr id="538" name="Text Box 222">
          <a:extLst>
            <a:ext uri="{FF2B5EF4-FFF2-40B4-BE49-F238E27FC236}">
              <a16:creationId xmlns:a16="http://schemas.microsoft.com/office/drawing/2014/main" id="{00000000-0008-0000-0F00-00001A02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5</xdr:col>
      <xdr:colOff>0</xdr:colOff>
      <xdr:row>23</xdr:row>
      <xdr:rowOff>0</xdr:rowOff>
    </xdr:from>
    <xdr:ext cx="123825" cy="842282"/>
    <xdr:sp macro="" textlink="">
      <xdr:nvSpPr>
        <xdr:cNvPr id="539" name="Text Box 223">
          <a:extLst>
            <a:ext uri="{FF2B5EF4-FFF2-40B4-BE49-F238E27FC236}">
              <a16:creationId xmlns:a16="http://schemas.microsoft.com/office/drawing/2014/main" id="{00000000-0008-0000-0F00-00001B02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5</xdr:col>
      <xdr:colOff>0</xdr:colOff>
      <xdr:row>23</xdr:row>
      <xdr:rowOff>0</xdr:rowOff>
    </xdr:from>
    <xdr:ext cx="123825" cy="842282"/>
    <xdr:sp macro="" textlink="">
      <xdr:nvSpPr>
        <xdr:cNvPr id="540" name="Text Box 230">
          <a:extLst>
            <a:ext uri="{FF2B5EF4-FFF2-40B4-BE49-F238E27FC236}">
              <a16:creationId xmlns:a16="http://schemas.microsoft.com/office/drawing/2014/main" id="{00000000-0008-0000-0F00-00001C02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5</xdr:col>
      <xdr:colOff>0</xdr:colOff>
      <xdr:row>23</xdr:row>
      <xdr:rowOff>0</xdr:rowOff>
    </xdr:from>
    <xdr:ext cx="123825" cy="842282"/>
    <xdr:sp macro="" textlink="">
      <xdr:nvSpPr>
        <xdr:cNvPr id="541" name="Text Box 231">
          <a:extLst>
            <a:ext uri="{FF2B5EF4-FFF2-40B4-BE49-F238E27FC236}">
              <a16:creationId xmlns:a16="http://schemas.microsoft.com/office/drawing/2014/main" id="{00000000-0008-0000-0F00-00001D02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5</xdr:col>
      <xdr:colOff>0</xdr:colOff>
      <xdr:row>23</xdr:row>
      <xdr:rowOff>0</xdr:rowOff>
    </xdr:from>
    <xdr:ext cx="123825" cy="842282"/>
    <xdr:sp macro="" textlink="">
      <xdr:nvSpPr>
        <xdr:cNvPr id="542" name="Text Box 232">
          <a:extLst>
            <a:ext uri="{FF2B5EF4-FFF2-40B4-BE49-F238E27FC236}">
              <a16:creationId xmlns:a16="http://schemas.microsoft.com/office/drawing/2014/main" id="{00000000-0008-0000-0F00-00001E02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5</xdr:col>
      <xdr:colOff>0</xdr:colOff>
      <xdr:row>23</xdr:row>
      <xdr:rowOff>0</xdr:rowOff>
    </xdr:from>
    <xdr:ext cx="123825" cy="842282"/>
    <xdr:sp macro="" textlink="">
      <xdr:nvSpPr>
        <xdr:cNvPr id="543" name="Text Box 233">
          <a:extLst>
            <a:ext uri="{FF2B5EF4-FFF2-40B4-BE49-F238E27FC236}">
              <a16:creationId xmlns:a16="http://schemas.microsoft.com/office/drawing/2014/main" id="{00000000-0008-0000-0F00-00001F02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5</xdr:col>
      <xdr:colOff>0</xdr:colOff>
      <xdr:row>23</xdr:row>
      <xdr:rowOff>0</xdr:rowOff>
    </xdr:from>
    <xdr:ext cx="123825" cy="842282"/>
    <xdr:sp macro="" textlink="">
      <xdr:nvSpPr>
        <xdr:cNvPr id="544" name="Text Box 234">
          <a:extLst>
            <a:ext uri="{FF2B5EF4-FFF2-40B4-BE49-F238E27FC236}">
              <a16:creationId xmlns:a16="http://schemas.microsoft.com/office/drawing/2014/main" id="{00000000-0008-0000-0F00-000020020000}"/>
            </a:ext>
          </a:extLst>
        </xdr:cNvPr>
        <xdr:cNvSpPr txBox="1">
          <a:spLocks noChangeArrowheads="1"/>
        </xdr:cNvSpPr>
      </xdr:nvSpPr>
      <xdr:spPr bwMode="auto">
        <a:xfrm>
          <a:off x="3095625" y="10315575"/>
          <a:ext cx="123825" cy="842282"/>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545" name="Text Box 197">
          <a:extLst>
            <a:ext uri="{FF2B5EF4-FFF2-40B4-BE49-F238E27FC236}">
              <a16:creationId xmlns:a16="http://schemas.microsoft.com/office/drawing/2014/main" id="{00000000-0008-0000-0F00-00002102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546" name="Text Box 198">
          <a:extLst>
            <a:ext uri="{FF2B5EF4-FFF2-40B4-BE49-F238E27FC236}">
              <a16:creationId xmlns:a16="http://schemas.microsoft.com/office/drawing/2014/main" id="{00000000-0008-0000-0F00-00002202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547" name="Text Box 199">
          <a:extLst>
            <a:ext uri="{FF2B5EF4-FFF2-40B4-BE49-F238E27FC236}">
              <a16:creationId xmlns:a16="http://schemas.microsoft.com/office/drawing/2014/main" id="{00000000-0008-0000-0F00-00002302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548" name="Text Box 200">
          <a:extLst>
            <a:ext uri="{FF2B5EF4-FFF2-40B4-BE49-F238E27FC236}">
              <a16:creationId xmlns:a16="http://schemas.microsoft.com/office/drawing/2014/main" id="{00000000-0008-0000-0F00-00002402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549" name="Text Box 201">
          <a:extLst>
            <a:ext uri="{FF2B5EF4-FFF2-40B4-BE49-F238E27FC236}">
              <a16:creationId xmlns:a16="http://schemas.microsoft.com/office/drawing/2014/main" id="{00000000-0008-0000-0F00-00002502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550" name="Text Box 202">
          <a:extLst>
            <a:ext uri="{FF2B5EF4-FFF2-40B4-BE49-F238E27FC236}">
              <a16:creationId xmlns:a16="http://schemas.microsoft.com/office/drawing/2014/main" id="{00000000-0008-0000-0F00-00002602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551" name="Text Box 203">
          <a:extLst>
            <a:ext uri="{FF2B5EF4-FFF2-40B4-BE49-F238E27FC236}">
              <a16:creationId xmlns:a16="http://schemas.microsoft.com/office/drawing/2014/main" id="{00000000-0008-0000-0F00-00002702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552" name="Text Box 204">
          <a:extLst>
            <a:ext uri="{FF2B5EF4-FFF2-40B4-BE49-F238E27FC236}">
              <a16:creationId xmlns:a16="http://schemas.microsoft.com/office/drawing/2014/main" id="{00000000-0008-0000-0F00-00002802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14300" cy="945696"/>
    <xdr:sp macro="" textlink="">
      <xdr:nvSpPr>
        <xdr:cNvPr id="553" name="Text Box 205">
          <a:extLst>
            <a:ext uri="{FF2B5EF4-FFF2-40B4-BE49-F238E27FC236}">
              <a16:creationId xmlns:a16="http://schemas.microsoft.com/office/drawing/2014/main" id="{00000000-0008-0000-0F00-000029020000}"/>
            </a:ext>
          </a:extLst>
        </xdr:cNvPr>
        <xdr:cNvSpPr txBox="1">
          <a:spLocks noChangeArrowheads="1"/>
        </xdr:cNvSpPr>
      </xdr:nvSpPr>
      <xdr:spPr bwMode="auto">
        <a:xfrm>
          <a:off x="3095625" y="10315575"/>
          <a:ext cx="114300" cy="945696"/>
        </a:xfrm>
        <a:prstGeom prst="rect">
          <a:avLst/>
        </a:prstGeom>
        <a:noFill/>
        <a:ln w="9525">
          <a:noFill/>
          <a:miter lim="800000"/>
          <a:headEnd/>
          <a:tailEnd/>
        </a:ln>
      </xdr:spPr>
    </xdr:sp>
    <xdr:clientData/>
  </xdr:oneCellAnchor>
  <xdr:oneCellAnchor>
    <xdr:from>
      <xdr:col>4</xdr:col>
      <xdr:colOff>0</xdr:colOff>
      <xdr:row>23</xdr:row>
      <xdr:rowOff>0</xdr:rowOff>
    </xdr:from>
    <xdr:ext cx="114300" cy="945696"/>
    <xdr:sp macro="" textlink="">
      <xdr:nvSpPr>
        <xdr:cNvPr id="554" name="Text Box 206">
          <a:extLst>
            <a:ext uri="{FF2B5EF4-FFF2-40B4-BE49-F238E27FC236}">
              <a16:creationId xmlns:a16="http://schemas.microsoft.com/office/drawing/2014/main" id="{00000000-0008-0000-0F00-00002A020000}"/>
            </a:ext>
          </a:extLst>
        </xdr:cNvPr>
        <xdr:cNvSpPr txBox="1">
          <a:spLocks noChangeArrowheads="1"/>
        </xdr:cNvSpPr>
      </xdr:nvSpPr>
      <xdr:spPr bwMode="auto">
        <a:xfrm>
          <a:off x="3095625" y="10315575"/>
          <a:ext cx="114300" cy="945696"/>
        </a:xfrm>
        <a:prstGeom prst="rect">
          <a:avLst/>
        </a:prstGeom>
        <a:noFill/>
        <a:ln w="9525">
          <a:noFill/>
          <a:miter lim="800000"/>
          <a:headEnd/>
          <a:tailEnd/>
        </a:ln>
      </xdr:spPr>
    </xdr:sp>
    <xdr:clientData/>
  </xdr:oneCellAnchor>
  <xdr:oneCellAnchor>
    <xdr:from>
      <xdr:col>4</xdr:col>
      <xdr:colOff>0</xdr:colOff>
      <xdr:row>23</xdr:row>
      <xdr:rowOff>0</xdr:rowOff>
    </xdr:from>
    <xdr:ext cx="123825" cy="945696"/>
    <xdr:sp macro="" textlink="">
      <xdr:nvSpPr>
        <xdr:cNvPr id="555" name="Text Box 207">
          <a:extLst>
            <a:ext uri="{FF2B5EF4-FFF2-40B4-BE49-F238E27FC236}">
              <a16:creationId xmlns:a16="http://schemas.microsoft.com/office/drawing/2014/main" id="{00000000-0008-0000-0F00-00002B020000}"/>
            </a:ext>
          </a:extLst>
        </xdr:cNvPr>
        <xdr:cNvSpPr txBox="1">
          <a:spLocks noChangeArrowheads="1"/>
        </xdr:cNvSpPr>
      </xdr:nvSpPr>
      <xdr:spPr bwMode="auto">
        <a:xfrm>
          <a:off x="3095625" y="10315575"/>
          <a:ext cx="123825" cy="945696"/>
        </a:xfrm>
        <a:prstGeom prst="rect">
          <a:avLst/>
        </a:prstGeom>
        <a:noFill/>
        <a:ln w="9525">
          <a:noFill/>
          <a:miter lim="800000"/>
          <a:headEnd/>
          <a:tailEnd/>
        </a:ln>
      </xdr:spPr>
    </xdr:sp>
    <xdr:clientData/>
  </xdr:oneCellAnchor>
  <xdr:oneCellAnchor>
    <xdr:from>
      <xdr:col>4</xdr:col>
      <xdr:colOff>0</xdr:colOff>
      <xdr:row>23</xdr:row>
      <xdr:rowOff>0</xdr:rowOff>
    </xdr:from>
    <xdr:ext cx="123825" cy="945696"/>
    <xdr:sp macro="" textlink="">
      <xdr:nvSpPr>
        <xdr:cNvPr id="556" name="Text Box 208">
          <a:extLst>
            <a:ext uri="{FF2B5EF4-FFF2-40B4-BE49-F238E27FC236}">
              <a16:creationId xmlns:a16="http://schemas.microsoft.com/office/drawing/2014/main" id="{00000000-0008-0000-0F00-00002C020000}"/>
            </a:ext>
          </a:extLst>
        </xdr:cNvPr>
        <xdr:cNvSpPr txBox="1">
          <a:spLocks noChangeArrowheads="1"/>
        </xdr:cNvSpPr>
      </xdr:nvSpPr>
      <xdr:spPr bwMode="auto">
        <a:xfrm>
          <a:off x="3095625" y="10315575"/>
          <a:ext cx="123825" cy="945696"/>
        </a:xfrm>
        <a:prstGeom prst="rect">
          <a:avLst/>
        </a:prstGeom>
        <a:noFill/>
        <a:ln w="9525">
          <a:noFill/>
          <a:miter lim="800000"/>
          <a:headEnd/>
          <a:tailEnd/>
        </a:ln>
      </xdr:spPr>
    </xdr:sp>
    <xdr:clientData/>
  </xdr:oneCellAnchor>
  <xdr:oneCellAnchor>
    <xdr:from>
      <xdr:col>4</xdr:col>
      <xdr:colOff>0</xdr:colOff>
      <xdr:row>23</xdr:row>
      <xdr:rowOff>0</xdr:rowOff>
    </xdr:from>
    <xdr:ext cx="123825" cy="945696"/>
    <xdr:sp macro="" textlink="">
      <xdr:nvSpPr>
        <xdr:cNvPr id="557" name="Text Box 209">
          <a:extLst>
            <a:ext uri="{FF2B5EF4-FFF2-40B4-BE49-F238E27FC236}">
              <a16:creationId xmlns:a16="http://schemas.microsoft.com/office/drawing/2014/main" id="{00000000-0008-0000-0F00-00002D020000}"/>
            </a:ext>
          </a:extLst>
        </xdr:cNvPr>
        <xdr:cNvSpPr txBox="1">
          <a:spLocks noChangeArrowheads="1"/>
        </xdr:cNvSpPr>
      </xdr:nvSpPr>
      <xdr:spPr bwMode="auto">
        <a:xfrm>
          <a:off x="3095625" y="10315575"/>
          <a:ext cx="123825" cy="945696"/>
        </a:xfrm>
        <a:prstGeom prst="rect">
          <a:avLst/>
        </a:prstGeom>
        <a:noFill/>
        <a:ln w="9525">
          <a:noFill/>
          <a:miter lim="800000"/>
          <a:headEnd/>
          <a:tailEnd/>
        </a:ln>
      </xdr:spPr>
    </xdr:sp>
    <xdr:clientData/>
  </xdr:oneCellAnchor>
  <xdr:oneCellAnchor>
    <xdr:from>
      <xdr:col>4</xdr:col>
      <xdr:colOff>0</xdr:colOff>
      <xdr:row>23</xdr:row>
      <xdr:rowOff>0</xdr:rowOff>
    </xdr:from>
    <xdr:ext cx="123825" cy="945696"/>
    <xdr:sp macro="" textlink="">
      <xdr:nvSpPr>
        <xdr:cNvPr id="558" name="Text Box 210">
          <a:extLst>
            <a:ext uri="{FF2B5EF4-FFF2-40B4-BE49-F238E27FC236}">
              <a16:creationId xmlns:a16="http://schemas.microsoft.com/office/drawing/2014/main" id="{00000000-0008-0000-0F00-00002E020000}"/>
            </a:ext>
          </a:extLst>
        </xdr:cNvPr>
        <xdr:cNvSpPr txBox="1">
          <a:spLocks noChangeArrowheads="1"/>
        </xdr:cNvSpPr>
      </xdr:nvSpPr>
      <xdr:spPr bwMode="auto">
        <a:xfrm>
          <a:off x="3095625" y="10315575"/>
          <a:ext cx="123825" cy="9456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559" name="Text Box 211">
          <a:extLst>
            <a:ext uri="{FF2B5EF4-FFF2-40B4-BE49-F238E27FC236}">
              <a16:creationId xmlns:a16="http://schemas.microsoft.com/office/drawing/2014/main" id="{00000000-0008-0000-0F00-00002F02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560" name="Text Box 212">
          <a:extLst>
            <a:ext uri="{FF2B5EF4-FFF2-40B4-BE49-F238E27FC236}">
              <a16:creationId xmlns:a16="http://schemas.microsoft.com/office/drawing/2014/main" id="{00000000-0008-0000-0F00-00003002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561" name="Text Box 213">
          <a:extLst>
            <a:ext uri="{FF2B5EF4-FFF2-40B4-BE49-F238E27FC236}">
              <a16:creationId xmlns:a16="http://schemas.microsoft.com/office/drawing/2014/main" id="{00000000-0008-0000-0F00-00003102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4</xdr:col>
      <xdr:colOff>0</xdr:colOff>
      <xdr:row>23</xdr:row>
      <xdr:rowOff>0</xdr:rowOff>
    </xdr:from>
    <xdr:ext cx="123825" cy="831396"/>
    <xdr:sp macro="" textlink="">
      <xdr:nvSpPr>
        <xdr:cNvPr id="562" name="Text Box 214">
          <a:extLst>
            <a:ext uri="{FF2B5EF4-FFF2-40B4-BE49-F238E27FC236}">
              <a16:creationId xmlns:a16="http://schemas.microsoft.com/office/drawing/2014/main" id="{00000000-0008-0000-0F00-000032020000}"/>
            </a:ext>
          </a:extLst>
        </xdr:cNvPr>
        <xdr:cNvSpPr txBox="1">
          <a:spLocks noChangeArrowheads="1"/>
        </xdr:cNvSpPr>
      </xdr:nvSpPr>
      <xdr:spPr bwMode="auto">
        <a:xfrm>
          <a:off x="30956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63" name="Text Box 197">
          <a:extLst>
            <a:ext uri="{FF2B5EF4-FFF2-40B4-BE49-F238E27FC236}">
              <a16:creationId xmlns:a16="http://schemas.microsoft.com/office/drawing/2014/main" id="{00000000-0008-0000-0F00-000033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64" name="Text Box 198">
          <a:extLst>
            <a:ext uri="{FF2B5EF4-FFF2-40B4-BE49-F238E27FC236}">
              <a16:creationId xmlns:a16="http://schemas.microsoft.com/office/drawing/2014/main" id="{00000000-0008-0000-0F00-000034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65" name="Text Box 199">
          <a:extLst>
            <a:ext uri="{FF2B5EF4-FFF2-40B4-BE49-F238E27FC236}">
              <a16:creationId xmlns:a16="http://schemas.microsoft.com/office/drawing/2014/main" id="{00000000-0008-0000-0F00-000035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66" name="Text Box 200">
          <a:extLst>
            <a:ext uri="{FF2B5EF4-FFF2-40B4-BE49-F238E27FC236}">
              <a16:creationId xmlns:a16="http://schemas.microsoft.com/office/drawing/2014/main" id="{00000000-0008-0000-0F00-000036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67" name="Text Box 201">
          <a:extLst>
            <a:ext uri="{FF2B5EF4-FFF2-40B4-BE49-F238E27FC236}">
              <a16:creationId xmlns:a16="http://schemas.microsoft.com/office/drawing/2014/main" id="{00000000-0008-0000-0F00-000037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68" name="Text Box 202">
          <a:extLst>
            <a:ext uri="{FF2B5EF4-FFF2-40B4-BE49-F238E27FC236}">
              <a16:creationId xmlns:a16="http://schemas.microsoft.com/office/drawing/2014/main" id="{00000000-0008-0000-0F00-000038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69" name="Text Box 203">
          <a:extLst>
            <a:ext uri="{FF2B5EF4-FFF2-40B4-BE49-F238E27FC236}">
              <a16:creationId xmlns:a16="http://schemas.microsoft.com/office/drawing/2014/main" id="{00000000-0008-0000-0F00-000039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70" name="Text Box 204">
          <a:extLst>
            <a:ext uri="{FF2B5EF4-FFF2-40B4-BE49-F238E27FC236}">
              <a16:creationId xmlns:a16="http://schemas.microsoft.com/office/drawing/2014/main" id="{00000000-0008-0000-0F00-00003A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14300" cy="945696"/>
    <xdr:sp macro="" textlink="">
      <xdr:nvSpPr>
        <xdr:cNvPr id="571" name="Text Box 205">
          <a:extLst>
            <a:ext uri="{FF2B5EF4-FFF2-40B4-BE49-F238E27FC236}">
              <a16:creationId xmlns:a16="http://schemas.microsoft.com/office/drawing/2014/main" id="{00000000-0008-0000-0F00-00003B020000}"/>
            </a:ext>
          </a:extLst>
        </xdr:cNvPr>
        <xdr:cNvSpPr txBox="1">
          <a:spLocks noChangeArrowheads="1"/>
        </xdr:cNvSpPr>
      </xdr:nvSpPr>
      <xdr:spPr bwMode="auto">
        <a:xfrm>
          <a:off x="5610225" y="10315575"/>
          <a:ext cx="114300" cy="945696"/>
        </a:xfrm>
        <a:prstGeom prst="rect">
          <a:avLst/>
        </a:prstGeom>
        <a:noFill/>
        <a:ln w="9525">
          <a:noFill/>
          <a:miter lim="800000"/>
          <a:headEnd/>
          <a:tailEnd/>
        </a:ln>
      </xdr:spPr>
    </xdr:sp>
    <xdr:clientData/>
  </xdr:oneCellAnchor>
  <xdr:oneCellAnchor>
    <xdr:from>
      <xdr:col>8</xdr:col>
      <xdr:colOff>0</xdr:colOff>
      <xdr:row>23</xdr:row>
      <xdr:rowOff>0</xdr:rowOff>
    </xdr:from>
    <xdr:ext cx="114300" cy="945696"/>
    <xdr:sp macro="" textlink="">
      <xdr:nvSpPr>
        <xdr:cNvPr id="572" name="Text Box 206">
          <a:extLst>
            <a:ext uri="{FF2B5EF4-FFF2-40B4-BE49-F238E27FC236}">
              <a16:creationId xmlns:a16="http://schemas.microsoft.com/office/drawing/2014/main" id="{00000000-0008-0000-0F00-00003C020000}"/>
            </a:ext>
          </a:extLst>
        </xdr:cNvPr>
        <xdr:cNvSpPr txBox="1">
          <a:spLocks noChangeArrowheads="1"/>
        </xdr:cNvSpPr>
      </xdr:nvSpPr>
      <xdr:spPr bwMode="auto">
        <a:xfrm>
          <a:off x="5610225" y="10315575"/>
          <a:ext cx="114300" cy="945696"/>
        </a:xfrm>
        <a:prstGeom prst="rect">
          <a:avLst/>
        </a:prstGeom>
        <a:noFill/>
        <a:ln w="9525">
          <a:noFill/>
          <a:miter lim="800000"/>
          <a:headEnd/>
          <a:tailEnd/>
        </a:ln>
      </xdr:spPr>
    </xdr:sp>
    <xdr:clientData/>
  </xdr:oneCellAnchor>
  <xdr:oneCellAnchor>
    <xdr:from>
      <xdr:col>8</xdr:col>
      <xdr:colOff>0</xdr:colOff>
      <xdr:row>23</xdr:row>
      <xdr:rowOff>0</xdr:rowOff>
    </xdr:from>
    <xdr:ext cx="123825" cy="945696"/>
    <xdr:sp macro="" textlink="">
      <xdr:nvSpPr>
        <xdr:cNvPr id="573" name="Text Box 207">
          <a:extLst>
            <a:ext uri="{FF2B5EF4-FFF2-40B4-BE49-F238E27FC236}">
              <a16:creationId xmlns:a16="http://schemas.microsoft.com/office/drawing/2014/main" id="{00000000-0008-0000-0F00-00003D020000}"/>
            </a:ext>
          </a:extLst>
        </xdr:cNvPr>
        <xdr:cNvSpPr txBox="1">
          <a:spLocks noChangeArrowheads="1"/>
        </xdr:cNvSpPr>
      </xdr:nvSpPr>
      <xdr:spPr bwMode="auto">
        <a:xfrm>
          <a:off x="5610225" y="10315575"/>
          <a:ext cx="123825" cy="945696"/>
        </a:xfrm>
        <a:prstGeom prst="rect">
          <a:avLst/>
        </a:prstGeom>
        <a:noFill/>
        <a:ln w="9525">
          <a:noFill/>
          <a:miter lim="800000"/>
          <a:headEnd/>
          <a:tailEnd/>
        </a:ln>
      </xdr:spPr>
    </xdr:sp>
    <xdr:clientData/>
  </xdr:oneCellAnchor>
  <xdr:oneCellAnchor>
    <xdr:from>
      <xdr:col>8</xdr:col>
      <xdr:colOff>0</xdr:colOff>
      <xdr:row>23</xdr:row>
      <xdr:rowOff>0</xdr:rowOff>
    </xdr:from>
    <xdr:ext cx="123825" cy="945696"/>
    <xdr:sp macro="" textlink="">
      <xdr:nvSpPr>
        <xdr:cNvPr id="574" name="Text Box 208">
          <a:extLst>
            <a:ext uri="{FF2B5EF4-FFF2-40B4-BE49-F238E27FC236}">
              <a16:creationId xmlns:a16="http://schemas.microsoft.com/office/drawing/2014/main" id="{00000000-0008-0000-0F00-00003E020000}"/>
            </a:ext>
          </a:extLst>
        </xdr:cNvPr>
        <xdr:cNvSpPr txBox="1">
          <a:spLocks noChangeArrowheads="1"/>
        </xdr:cNvSpPr>
      </xdr:nvSpPr>
      <xdr:spPr bwMode="auto">
        <a:xfrm>
          <a:off x="5610225" y="10315575"/>
          <a:ext cx="123825" cy="945696"/>
        </a:xfrm>
        <a:prstGeom prst="rect">
          <a:avLst/>
        </a:prstGeom>
        <a:noFill/>
        <a:ln w="9525">
          <a:noFill/>
          <a:miter lim="800000"/>
          <a:headEnd/>
          <a:tailEnd/>
        </a:ln>
      </xdr:spPr>
    </xdr:sp>
    <xdr:clientData/>
  </xdr:oneCellAnchor>
  <xdr:oneCellAnchor>
    <xdr:from>
      <xdr:col>8</xdr:col>
      <xdr:colOff>0</xdr:colOff>
      <xdr:row>23</xdr:row>
      <xdr:rowOff>0</xdr:rowOff>
    </xdr:from>
    <xdr:ext cx="123825" cy="945696"/>
    <xdr:sp macro="" textlink="">
      <xdr:nvSpPr>
        <xdr:cNvPr id="575" name="Text Box 209">
          <a:extLst>
            <a:ext uri="{FF2B5EF4-FFF2-40B4-BE49-F238E27FC236}">
              <a16:creationId xmlns:a16="http://schemas.microsoft.com/office/drawing/2014/main" id="{00000000-0008-0000-0F00-00003F020000}"/>
            </a:ext>
          </a:extLst>
        </xdr:cNvPr>
        <xdr:cNvSpPr txBox="1">
          <a:spLocks noChangeArrowheads="1"/>
        </xdr:cNvSpPr>
      </xdr:nvSpPr>
      <xdr:spPr bwMode="auto">
        <a:xfrm>
          <a:off x="5610225" y="10315575"/>
          <a:ext cx="123825" cy="945696"/>
        </a:xfrm>
        <a:prstGeom prst="rect">
          <a:avLst/>
        </a:prstGeom>
        <a:noFill/>
        <a:ln w="9525">
          <a:noFill/>
          <a:miter lim="800000"/>
          <a:headEnd/>
          <a:tailEnd/>
        </a:ln>
      </xdr:spPr>
    </xdr:sp>
    <xdr:clientData/>
  </xdr:oneCellAnchor>
  <xdr:oneCellAnchor>
    <xdr:from>
      <xdr:col>8</xdr:col>
      <xdr:colOff>0</xdr:colOff>
      <xdr:row>23</xdr:row>
      <xdr:rowOff>0</xdr:rowOff>
    </xdr:from>
    <xdr:ext cx="123825" cy="945696"/>
    <xdr:sp macro="" textlink="">
      <xdr:nvSpPr>
        <xdr:cNvPr id="576" name="Text Box 210">
          <a:extLst>
            <a:ext uri="{FF2B5EF4-FFF2-40B4-BE49-F238E27FC236}">
              <a16:creationId xmlns:a16="http://schemas.microsoft.com/office/drawing/2014/main" id="{00000000-0008-0000-0F00-000040020000}"/>
            </a:ext>
          </a:extLst>
        </xdr:cNvPr>
        <xdr:cNvSpPr txBox="1">
          <a:spLocks noChangeArrowheads="1"/>
        </xdr:cNvSpPr>
      </xdr:nvSpPr>
      <xdr:spPr bwMode="auto">
        <a:xfrm>
          <a:off x="5610225" y="10315575"/>
          <a:ext cx="123825" cy="9456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77" name="Text Box 211">
          <a:extLst>
            <a:ext uri="{FF2B5EF4-FFF2-40B4-BE49-F238E27FC236}">
              <a16:creationId xmlns:a16="http://schemas.microsoft.com/office/drawing/2014/main" id="{00000000-0008-0000-0F00-000041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78" name="Text Box 212">
          <a:extLst>
            <a:ext uri="{FF2B5EF4-FFF2-40B4-BE49-F238E27FC236}">
              <a16:creationId xmlns:a16="http://schemas.microsoft.com/office/drawing/2014/main" id="{00000000-0008-0000-0F00-000042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0</xdr:colOff>
      <xdr:row>23</xdr:row>
      <xdr:rowOff>0</xdr:rowOff>
    </xdr:from>
    <xdr:ext cx="123825" cy="831396"/>
    <xdr:sp macro="" textlink="">
      <xdr:nvSpPr>
        <xdr:cNvPr id="579" name="Text Box 213">
          <a:extLst>
            <a:ext uri="{FF2B5EF4-FFF2-40B4-BE49-F238E27FC236}">
              <a16:creationId xmlns:a16="http://schemas.microsoft.com/office/drawing/2014/main" id="{00000000-0008-0000-0F00-000043020000}"/>
            </a:ext>
          </a:extLst>
        </xdr:cNvPr>
        <xdr:cNvSpPr txBox="1">
          <a:spLocks noChangeArrowheads="1"/>
        </xdr:cNvSpPr>
      </xdr:nvSpPr>
      <xdr:spPr bwMode="auto">
        <a:xfrm>
          <a:off x="5610225" y="10315575"/>
          <a:ext cx="123825" cy="831396"/>
        </a:xfrm>
        <a:prstGeom prst="rect">
          <a:avLst/>
        </a:prstGeom>
        <a:noFill/>
        <a:ln w="9525">
          <a:noFill/>
          <a:miter lim="800000"/>
          <a:headEnd/>
          <a:tailEnd/>
        </a:ln>
      </xdr:spPr>
    </xdr:sp>
    <xdr:clientData/>
  </xdr:oneCellAnchor>
  <xdr:oneCellAnchor>
    <xdr:from>
      <xdr:col>8</xdr:col>
      <xdr:colOff>27214</xdr:colOff>
      <xdr:row>23</xdr:row>
      <xdr:rowOff>0</xdr:rowOff>
    </xdr:from>
    <xdr:ext cx="123825" cy="831396"/>
    <xdr:sp macro="" textlink="">
      <xdr:nvSpPr>
        <xdr:cNvPr id="580" name="Text Box 214">
          <a:extLst>
            <a:ext uri="{FF2B5EF4-FFF2-40B4-BE49-F238E27FC236}">
              <a16:creationId xmlns:a16="http://schemas.microsoft.com/office/drawing/2014/main" id="{00000000-0008-0000-0F00-000044020000}"/>
            </a:ext>
          </a:extLst>
        </xdr:cNvPr>
        <xdr:cNvSpPr txBox="1">
          <a:spLocks noChangeArrowheads="1"/>
        </xdr:cNvSpPr>
      </xdr:nvSpPr>
      <xdr:spPr bwMode="auto">
        <a:xfrm>
          <a:off x="5637439" y="10315575"/>
          <a:ext cx="123825" cy="831396"/>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38225"/>
    <xdr:sp macro="" textlink="">
      <xdr:nvSpPr>
        <xdr:cNvPr id="581" name="Text Box 134">
          <a:extLst>
            <a:ext uri="{FF2B5EF4-FFF2-40B4-BE49-F238E27FC236}">
              <a16:creationId xmlns:a16="http://schemas.microsoft.com/office/drawing/2014/main" id="{00000000-0008-0000-0F00-000045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38225"/>
    <xdr:sp macro="" textlink="">
      <xdr:nvSpPr>
        <xdr:cNvPr id="582" name="Text Box 135">
          <a:extLst>
            <a:ext uri="{FF2B5EF4-FFF2-40B4-BE49-F238E27FC236}">
              <a16:creationId xmlns:a16="http://schemas.microsoft.com/office/drawing/2014/main" id="{00000000-0008-0000-0F00-000046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38225"/>
    <xdr:sp macro="" textlink="">
      <xdr:nvSpPr>
        <xdr:cNvPr id="583" name="Text Box 142">
          <a:extLst>
            <a:ext uri="{FF2B5EF4-FFF2-40B4-BE49-F238E27FC236}">
              <a16:creationId xmlns:a16="http://schemas.microsoft.com/office/drawing/2014/main" id="{00000000-0008-0000-0F00-000047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38225"/>
    <xdr:sp macro="" textlink="">
      <xdr:nvSpPr>
        <xdr:cNvPr id="584" name="Text Box 143">
          <a:extLst>
            <a:ext uri="{FF2B5EF4-FFF2-40B4-BE49-F238E27FC236}">
              <a16:creationId xmlns:a16="http://schemas.microsoft.com/office/drawing/2014/main" id="{00000000-0008-0000-0F00-000048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38225"/>
    <xdr:sp macro="" textlink="">
      <xdr:nvSpPr>
        <xdr:cNvPr id="585" name="Text Box 144">
          <a:extLst>
            <a:ext uri="{FF2B5EF4-FFF2-40B4-BE49-F238E27FC236}">
              <a16:creationId xmlns:a16="http://schemas.microsoft.com/office/drawing/2014/main" id="{00000000-0008-0000-0F00-000049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38225"/>
    <xdr:sp macro="" textlink="">
      <xdr:nvSpPr>
        <xdr:cNvPr id="586" name="Text Box 145">
          <a:extLst>
            <a:ext uri="{FF2B5EF4-FFF2-40B4-BE49-F238E27FC236}">
              <a16:creationId xmlns:a16="http://schemas.microsoft.com/office/drawing/2014/main" id="{00000000-0008-0000-0F00-00004A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38225"/>
    <xdr:sp macro="" textlink="">
      <xdr:nvSpPr>
        <xdr:cNvPr id="587" name="Text Box 146">
          <a:extLst>
            <a:ext uri="{FF2B5EF4-FFF2-40B4-BE49-F238E27FC236}">
              <a16:creationId xmlns:a16="http://schemas.microsoft.com/office/drawing/2014/main" id="{00000000-0008-0000-0F00-00004B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38225"/>
    <xdr:sp macro="" textlink="">
      <xdr:nvSpPr>
        <xdr:cNvPr id="588" name="Text Box 147">
          <a:extLst>
            <a:ext uri="{FF2B5EF4-FFF2-40B4-BE49-F238E27FC236}">
              <a16:creationId xmlns:a16="http://schemas.microsoft.com/office/drawing/2014/main" id="{00000000-0008-0000-0F00-00004C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4</xdr:col>
      <xdr:colOff>1685925</xdr:colOff>
      <xdr:row>11</xdr:row>
      <xdr:rowOff>0</xdr:rowOff>
    </xdr:from>
    <xdr:ext cx="114300" cy="1133475"/>
    <xdr:sp macro="" textlink="">
      <xdr:nvSpPr>
        <xdr:cNvPr id="589" name="Text Box 136">
          <a:extLst>
            <a:ext uri="{FF2B5EF4-FFF2-40B4-BE49-F238E27FC236}">
              <a16:creationId xmlns:a16="http://schemas.microsoft.com/office/drawing/2014/main" id="{00000000-0008-0000-0F00-00004D020000}"/>
            </a:ext>
          </a:extLst>
        </xdr:cNvPr>
        <xdr:cNvSpPr txBox="1">
          <a:spLocks noChangeArrowheads="1"/>
        </xdr:cNvSpPr>
      </xdr:nvSpPr>
      <xdr:spPr bwMode="auto">
        <a:xfrm>
          <a:off x="3102429" y="4966607"/>
          <a:ext cx="114300" cy="1133475"/>
        </a:xfrm>
        <a:prstGeom prst="rect">
          <a:avLst/>
        </a:prstGeom>
        <a:noFill/>
        <a:ln w="9525">
          <a:noFill/>
          <a:miter lim="800000"/>
          <a:headEnd/>
          <a:tailEnd/>
        </a:ln>
      </xdr:spPr>
    </xdr:sp>
    <xdr:clientData/>
  </xdr:oneCellAnchor>
  <xdr:oneCellAnchor>
    <xdr:from>
      <xdr:col>4</xdr:col>
      <xdr:colOff>1685925</xdr:colOff>
      <xdr:row>11</xdr:row>
      <xdr:rowOff>0</xdr:rowOff>
    </xdr:from>
    <xdr:ext cx="114300" cy="1133475"/>
    <xdr:sp macro="" textlink="">
      <xdr:nvSpPr>
        <xdr:cNvPr id="590" name="Text Box 137">
          <a:extLst>
            <a:ext uri="{FF2B5EF4-FFF2-40B4-BE49-F238E27FC236}">
              <a16:creationId xmlns:a16="http://schemas.microsoft.com/office/drawing/2014/main" id="{00000000-0008-0000-0F00-00004E020000}"/>
            </a:ext>
          </a:extLst>
        </xdr:cNvPr>
        <xdr:cNvSpPr txBox="1">
          <a:spLocks noChangeArrowheads="1"/>
        </xdr:cNvSpPr>
      </xdr:nvSpPr>
      <xdr:spPr bwMode="auto">
        <a:xfrm>
          <a:off x="3102429" y="4966607"/>
          <a:ext cx="114300" cy="113347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133475"/>
    <xdr:sp macro="" textlink="">
      <xdr:nvSpPr>
        <xdr:cNvPr id="591" name="Text Box 150">
          <a:extLst>
            <a:ext uri="{FF2B5EF4-FFF2-40B4-BE49-F238E27FC236}">
              <a16:creationId xmlns:a16="http://schemas.microsoft.com/office/drawing/2014/main" id="{00000000-0008-0000-0F00-00004F020000}"/>
            </a:ext>
          </a:extLst>
        </xdr:cNvPr>
        <xdr:cNvSpPr txBox="1">
          <a:spLocks noChangeArrowheads="1"/>
        </xdr:cNvSpPr>
      </xdr:nvSpPr>
      <xdr:spPr bwMode="auto">
        <a:xfrm>
          <a:off x="3102429" y="4966607"/>
          <a:ext cx="123825" cy="113347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133475"/>
    <xdr:sp macro="" textlink="">
      <xdr:nvSpPr>
        <xdr:cNvPr id="592" name="Text Box 151">
          <a:extLst>
            <a:ext uri="{FF2B5EF4-FFF2-40B4-BE49-F238E27FC236}">
              <a16:creationId xmlns:a16="http://schemas.microsoft.com/office/drawing/2014/main" id="{00000000-0008-0000-0F00-000050020000}"/>
            </a:ext>
          </a:extLst>
        </xdr:cNvPr>
        <xdr:cNvSpPr txBox="1">
          <a:spLocks noChangeArrowheads="1"/>
        </xdr:cNvSpPr>
      </xdr:nvSpPr>
      <xdr:spPr bwMode="auto">
        <a:xfrm>
          <a:off x="3102429" y="4966607"/>
          <a:ext cx="123825" cy="113347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133475"/>
    <xdr:sp macro="" textlink="">
      <xdr:nvSpPr>
        <xdr:cNvPr id="593" name="Text Box 152">
          <a:extLst>
            <a:ext uri="{FF2B5EF4-FFF2-40B4-BE49-F238E27FC236}">
              <a16:creationId xmlns:a16="http://schemas.microsoft.com/office/drawing/2014/main" id="{00000000-0008-0000-0F00-000051020000}"/>
            </a:ext>
          </a:extLst>
        </xdr:cNvPr>
        <xdr:cNvSpPr txBox="1">
          <a:spLocks noChangeArrowheads="1"/>
        </xdr:cNvSpPr>
      </xdr:nvSpPr>
      <xdr:spPr bwMode="auto">
        <a:xfrm>
          <a:off x="3102429" y="4966607"/>
          <a:ext cx="123825" cy="113347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133475"/>
    <xdr:sp macro="" textlink="">
      <xdr:nvSpPr>
        <xdr:cNvPr id="594" name="Text Box 153">
          <a:extLst>
            <a:ext uri="{FF2B5EF4-FFF2-40B4-BE49-F238E27FC236}">
              <a16:creationId xmlns:a16="http://schemas.microsoft.com/office/drawing/2014/main" id="{00000000-0008-0000-0F00-000052020000}"/>
            </a:ext>
          </a:extLst>
        </xdr:cNvPr>
        <xdr:cNvSpPr txBox="1">
          <a:spLocks noChangeArrowheads="1"/>
        </xdr:cNvSpPr>
      </xdr:nvSpPr>
      <xdr:spPr bwMode="auto">
        <a:xfrm>
          <a:off x="3102429" y="4966607"/>
          <a:ext cx="123825" cy="113347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38225"/>
    <xdr:sp macro="" textlink="">
      <xdr:nvSpPr>
        <xdr:cNvPr id="595" name="Text Box 154">
          <a:extLst>
            <a:ext uri="{FF2B5EF4-FFF2-40B4-BE49-F238E27FC236}">
              <a16:creationId xmlns:a16="http://schemas.microsoft.com/office/drawing/2014/main" id="{00000000-0008-0000-0F00-000053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38225"/>
    <xdr:sp macro="" textlink="">
      <xdr:nvSpPr>
        <xdr:cNvPr id="596" name="Text Box 155">
          <a:extLst>
            <a:ext uri="{FF2B5EF4-FFF2-40B4-BE49-F238E27FC236}">
              <a16:creationId xmlns:a16="http://schemas.microsoft.com/office/drawing/2014/main" id="{00000000-0008-0000-0F00-000054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38225"/>
    <xdr:sp macro="" textlink="">
      <xdr:nvSpPr>
        <xdr:cNvPr id="597" name="Text Box 156">
          <a:extLst>
            <a:ext uri="{FF2B5EF4-FFF2-40B4-BE49-F238E27FC236}">
              <a16:creationId xmlns:a16="http://schemas.microsoft.com/office/drawing/2014/main" id="{00000000-0008-0000-0F00-000055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8</xdr:col>
      <xdr:colOff>0</xdr:colOff>
      <xdr:row>11</xdr:row>
      <xdr:rowOff>0</xdr:rowOff>
    </xdr:from>
    <xdr:ext cx="123825" cy="1038225"/>
    <xdr:sp macro="" textlink="">
      <xdr:nvSpPr>
        <xdr:cNvPr id="598" name="Text Box 159">
          <a:extLst>
            <a:ext uri="{FF2B5EF4-FFF2-40B4-BE49-F238E27FC236}">
              <a16:creationId xmlns:a16="http://schemas.microsoft.com/office/drawing/2014/main" id="{00000000-0008-0000-0F00-000056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8</xdr:col>
      <xdr:colOff>0</xdr:colOff>
      <xdr:row>11</xdr:row>
      <xdr:rowOff>0</xdr:rowOff>
    </xdr:from>
    <xdr:ext cx="123825" cy="1038225"/>
    <xdr:sp macro="" textlink="">
      <xdr:nvSpPr>
        <xdr:cNvPr id="599" name="Text Box 160">
          <a:extLst>
            <a:ext uri="{FF2B5EF4-FFF2-40B4-BE49-F238E27FC236}">
              <a16:creationId xmlns:a16="http://schemas.microsoft.com/office/drawing/2014/main" id="{00000000-0008-0000-0F00-000057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8</xdr:col>
      <xdr:colOff>0</xdr:colOff>
      <xdr:row>11</xdr:row>
      <xdr:rowOff>0</xdr:rowOff>
    </xdr:from>
    <xdr:ext cx="123825" cy="1038225"/>
    <xdr:sp macro="" textlink="">
      <xdr:nvSpPr>
        <xdr:cNvPr id="600" name="Text Box 161">
          <a:extLst>
            <a:ext uri="{FF2B5EF4-FFF2-40B4-BE49-F238E27FC236}">
              <a16:creationId xmlns:a16="http://schemas.microsoft.com/office/drawing/2014/main" id="{00000000-0008-0000-0F00-000058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8</xdr:col>
      <xdr:colOff>0</xdr:colOff>
      <xdr:row>11</xdr:row>
      <xdr:rowOff>0</xdr:rowOff>
    </xdr:from>
    <xdr:ext cx="123825" cy="1038225"/>
    <xdr:sp macro="" textlink="">
      <xdr:nvSpPr>
        <xdr:cNvPr id="601" name="Text Box 162">
          <a:extLst>
            <a:ext uri="{FF2B5EF4-FFF2-40B4-BE49-F238E27FC236}">
              <a16:creationId xmlns:a16="http://schemas.microsoft.com/office/drawing/2014/main" id="{00000000-0008-0000-0F00-000059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8</xdr:col>
      <xdr:colOff>0</xdr:colOff>
      <xdr:row>11</xdr:row>
      <xdr:rowOff>0</xdr:rowOff>
    </xdr:from>
    <xdr:ext cx="123825" cy="1038225"/>
    <xdr:sp macro="" textlink="">
      <xdr:nvSpPr>
        <xdr:cNvPr id="602" name="Text Box 163">
          <a:extLst>
            <a:ext uri="{FF2B5EF4-FFF2-40B4-BE49-F238E27FC236}">
              <a16:creationId xmlns:a16="http://schemas.microsoft.com/office/drawing/2014/main" id="{00000000-0008-0000-0F00-00005A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8</xdr:col>
      <xdr:colOff>0</xdr:colOff>
      <xdr:row>11</xdr:row>
      <xdr:rowOff>0</xdr:rowOff>
    </xdr:from>
    <xdr:ext cx="123825" cy="1038225"/>
    <xdr:sp macro="" textlink="">
      <xdr:nvSpPr>
        <xdr:cNvPr id="603" name="Text Box 164">
          <a:extLst>
            <a:ext uri="{FF2B5EF4-FFF2-40B4-BE49-F238E27FC236}">
              <a16:creationId xmlns:a16="http://schemas.microsoft.com/office/drawing/2014/main" id="{00000000-0008-0000-0F00-00005B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8</xdr:col>
      <xdr:colOff>0</xdr:colOff>
      <xdr:row>11</xdr:row>
      <xdr:rowOff>0</xdr:rowOff>
    </xdr:from>
    <xdr:ext cx="123825" cy="1038225"/>
    <xdr:sp macro="" textlink="">
      <xdr:nvSpPr>
        <xdr:cNvPr id="604" name="Text Box 165">
          <a:extLst>
            <a:ext uri="{FF2B5EF4-FFF2-40B4-BE49-F238E27FC236}">
              <a16:creationId xmlns:a16="http://schemas.microsoft.com/office/drawing/2014/main" id="{00000000-0008-0000-0F00-00005C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8</xdr:col>
      <xdr:colOff>0</xdr:colOff>
      <xdr:row>11</xdr:row>
      <xdr:rowOff>0</xdr:rowOff>
    </xdr:from>
    <xdr:ext cx="123825" cy="1038225"/>
    <xdr:sp macro="" textlink="">
      <xdr:nvSpPr>
        <xdr:cNvPr id="605" name="Text Box 166">
          <a:extLst>
            <a:ext uri="{FF2B5EF4-FFF2-40B4-BE49-F238E27FC236}">
              <a16:creationId xmlns:a16="http://schemas.microsoft.com/office/drawing/2014/main" id="{00000000-0008-0000-0F00-00005D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8</xdr:col>
      <xdr:colOff>0</xdr:colOff>
      <xdr:row>11</xdr:row>
      <xdr:rowOff>0</xdr:rowOff>
    </xdr:from>
    <xdr:ext cx="114300" cy="1133475"/>
    <xdr:sp macro="" textlink="">
      <xdr:nvSpPr>
        <xdr:cNvPr id="606" name="Text Box 167">
          <a:extLst>
            <a:ext uri="{FF2B5EF4-FFF2-40B4-BE49-F238E27FC236}">
              <a16:creationId xmlns:a16="http://schemas.microsoft.com/office/drawing/2014/main" id="{00000000-0008-0000-0F00-00005E020000}"/>
            </a:ext>
          </a:extLst>
        </xdr:cNvPr>
        <xdr:cNvSpPr txBox="1">
          <a:spLocks noChangeArrowheads="1"/>
        </xdr:cNvSpPr>
      </xdr:nvSpPr>
      <xdr:spPr bwMode="auto">
        <a:xfrm>
          <a:off x="3102429" y="4966607"/>
          <a:ext cx="114300" cy="1133475"/>
        </a:xfrm>
        <a:prstGeom prst="rect">
          <a:avLst/>
        </a:prstGeom>
        <a:noFill/>
        <a:ln w="9525">
          <a:noFill/>
          <a:miter lim="800000"/>
          <a:headEnd/>
          <a:tailEnd/>
        </a:ln>
      </xdr:spPr>
    </xdr:sp>
    <xdr:clientData/>
  </xdr:oneCellAnchor>
  <xdr:oneCellAnchor>
    <xdr:from>
      <xdr:col>8</xdr:col>
      <xdr:colOff>0</xdr:colOff>
      <xdr:row>11</xdr:row>
      <xdr:rowOff>0</xdr:rowOff>
    </xdr:from>
    <xdr:ext cx="114300" cy="1133475"/>
    <xdr:sp macro="" textlink="">
      <xdr:nvSpPr>
        <xdr:cNvPr id="607" name="Text Box 168">
          <a:extLst>
            <a:ext uri="{FF2B5EF4-FFF2-40B4-BE49-F238E27FC236}">
              <a16:creationId xmlns:a16="http://schemas.microsoft.com/office/drawing/2014/main" id="{00000000-0008-0000-0F00-00005F020000}"/>
            </a:ext>
          </a:extLst>
        </xdr:cNvPr>
        <xdr:cNvSpPr txBox="1">
          <a:spLocks noChangeArrowheads="1"/>
        </xdr:cNvSpPr>
      </xdr:nvSpPr>
      <xdr:spPr bwMode="auto">
        <a:xfrm>
          <a:off x="3102429" y="4966607"/>
          <a:ext cx="114300" cy="1133475"/>
        </a:xfrm>
        <a:prstGeom prst="rect">
          <a:avLst/>
        </a:prstGeom>
        <a:noFill/>
        <a:ln w="9525">
          <a:noFill/>
          <a:miter lim="800000"/>
          <a:headEnd/>
          <a:tailEnd/>
        </a:ln>
      </xdr:spPr>
    </xdr:sp>
    <xdr:clientData/>
  </xdr:oneCellAnchor>
  <xdr:oneCellAnchor>
    <xdr:from>
      <xdr:col>8</xdr:col>
      <xdr:colOff>0</xdr:colOff>
      <xdr:row>11</xdr:row>
      <xdr:rowOff>0</xdr:rowOff>
    </xdr:from>
    <xdr:ext cx="123825" cy="1133475"/>
    <xdr:sp macro="" textlink="">
      <xdr:nvSpPr>
        <xdr:cNvPr id="608" name="Text Box 169">
          <a:extLst>
            <a:ext uri="{FF2B5EF4-FFF2-40B4-BE49-F238E27FC236}">
              <a16:creationId xmlns:a16="http://schemas.microsoft.com/office/drawing/2014/main" id="{00000000-0008-0000-0F00-000060020000}"/>
            </a:ext>
          </a:extLst>
        </xdr:cNvPr>
        <xdr:cNvSpPr txBox="1">
          <a:spLocks noChangeArrowheads="1"/>
        </xdr:cNvSpPr>
      </xdr:nvSpPr>
      <xdr:spPr bwMode="auto">
        <a:xfrm>
          <a:off x="3102429" y="4966607"/>
          <a:ext cx="123825" cy="1133475"/>
        </a:xfrm>
        <a:prstGeom prst="rect">
          <a:avLst/>
        </a:prstGeom>
        <a:noFill/>
        <a:ln w="9525">
          <a:noFill/>
          <a:miter lim="800000"/>
          <a:headEnd/>
          <a:tailEnd/>
        </a:ln>
      </xdr:spPr>
    </xdr:sp>
    <xdr:clientData/>
  </xdr:oneCellAnchor>
  <xdr:oneCellAnchor>
    <xdr:from>
      <xdr:col>8</xdr:col>
      <xdr:colOff>0</xdr:colOff>
      <xdr:row>11</xdr:row>
      <xdr:rowOff>0</xdr:rowOff>
    </xdr:from>
    <xdr:ext cx="123825" cy="1133475"/>
    <xdr:sp macro="" textlink="">
      <xdr:nvSpPr>
        <xdr:cNvPr id="609" name="Text Box 170">
          <a:extLst>
            <a:ext uri="{FF2B5EF4-FFF2-40B4-BE49-F238E27FC236}">
              <a16:creationId xmlns:a16="http://schemas.microsoft.com/office/drawing/2014/main" id="{00000000-0008-0000-0F00-000061020000}"/>
            </a:ext>
          </a:extLst>
        </xdr:cNvPr>
        <xdr:cNvSpPr txBox="1">
          <a:spLocks noChangeArrowheads="1"/>
        </xdr:cNvSpPr>
      </xdr:nvSpPr>
      <xdr:spPr bwMode="auto">
        <a:xfrm>
          <a:off x="3102429" y="4966607"/>
          <a:ext cx="123825" cy="1133475"/>
        </a:xfrm>
        <a:prstGeom prst="rect">
          <a:avLst/>
        </a:prstGeom>
        <a:noFill/>
        <a:ln w="9525">
          <a:noFill/>
          <a:miter lim="800000"/>
          <a:headEnd/>
          <a:tailEnd/>
        </a:ln>
      </xdr:spPr>
    </xdr:sp>
    <xdr:clientData/>
  </xdr:oneCellAnchor>
  <xdr:oneCellAnchor>
    <xdr:from>
      <xdr:col>8</xdr:col>
      <xdr:colOff>0</xdr:colOff>
      <xdr:row>11</xdr:row>
      <xdr:rowOff>0</xdr:rowOff>
    </xdr:from>
    <xdr:ext cx="123825" cy="1133475"/>
    <xdr:sp macro="" textlink="">
      <xdr:nvSpPr>
        <xdr:cNvPr id="610" name="Text Box 171">
          <a:extLst>
            <a:ext uri="{FF2B5EF4-FFF2-40B4-BE49-F238E27FC236}">
              <a16:creationId xmlns:a16="http://schemas.microsoft.com/office/drawing/2014/main" id="{00000000-0008-0000-0F00-000062020000}"/>
            </a:ext>
          </a:extLst>
        </xdr:cNvPr>
        <xdr:cNvSpPr txBox="1">
          <a:spLocks noChangeArrowheads="1"/>
        </xdr:cNvSpPr>
      </xdr:nvSpPr>
      <xdr:spPr bwMode="auto">
        <a:xfrm>
          <a:off x="3102429" y="4966607"/>
          <a:ext cx="123825" cy="1133475"/>
        </a:xfrm>
        <a:prstGeom prst="rect">
          <a:avLst/>
        </a:prstGeom>
        <a:noFill/>
        <a:ln w="9525">
          <a:noFill/>
          <a:miter lim="800000"/>
          <a:headEnd/>
          <a:tailEnd/>
        </a:ln>
      </xdr:spPr>
    </xdr:sp>
    <xdr:clientData/>
  </xdr:oneCellAnchor>
  <xdr:oneCellAnchor>
    <xdr:from>
      <xdr:col>8</xdr:col>
      <xdr:colOff>0</xdr:colOff>
      <xdr:row>11</xdr:row>
      <xdr:rowOff>0</xdr:rowOff>
    </xdr:from>
    <xdr:ext cx="123825" cy="1133475"/>
    <xdr:sp macro="" textlink="">
      <xdr:nvSpPr>
        <xdr:cNvPr id="611" name="Text Box 172">
          <a:extLst>
            <a:ext uri="{FF2B5EF4-FFF2-40B4-BE49-F238E27FC236}">
              <a16:creationId xmlns:a16="http://schemas.microsoft.com/office/drawing/2014/main" id="{00000000-0008-0000-0F00-000063020000}"/>
            </a:ext>
          </a:extLst>
        </xdr:cNvPr>
        <xdr:cNvSpPr txBox="1">
          <a:spLocks noChangeArrowheads="1"/>
        </xdr:cNvSpPr>
      </xdr:nvSpPr>
      <xdr:spPr bwMode="auto">
        <a:xfrm>
          <a:off x="3102429" y="4966607"/>
          <a:ext cx="123825" cy="1133475"/>
        </a:xfrm>
        <a:prstGeom prst="rect">
          <a:avLst/>
        </a:prstGeom>
        <a:noFill/>
        <a:ln w="9525">
          <a:noFill/>
          <a:miter lim="800000"/>
          <a:headEnd/>
          <a:tailEnd/>
        </a:ln>
      </xdr:spPr>
    </xdr:sp>
    <xdr:clientData/>
  </xdr:oneCellAnchor>
  <xdr:oneCellAnchor>
    <xdr:from>
      <xdr:col>8</xdr:col>
      <xdr:colOff>0</xdr:colOff>
      <xdr:row>11</xdr:row>
      <xdr:rowOff>0</xdr:rowOff>
    </xdr:from>
    <xdr:ext cx="123825" cy="1038225"/>
    <xdr:sp macro="" textlink="">
      <xdr:nvSpPr>
        <xdr:cNvPr id="612" name="Text Box 173">
          <a:extLst>
            <a:ext uri="{FF2B5EF4-FFF2-40B4-BE49-F238E27FC236}">
              <a16:creationId xmlns:a16="http://schemas.microsoft.com/office/drawing/2014/main" id="{00000000-0008-0000-0F00-000064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8</xdr:col>
      <xdr:colOff>0</xdr:colOff>
      <xdr:row>11</xdr:row>
      <xdr:rowOff>0</xdr:rowOff>
    </xdr:from>
    <xdr:ext cx="123825" cy="1038225"/>
    <xdr:sp macro="" textlink="">
      <xdr:nvSpPr>
        <xdr:cNvPr id="613" name="Text Box 174">
          <a:extLst>
            <a:ext uri="{FF2B5EF4-FFF2-40B4-BE49-F238E27FC236}">
              <a16:creationId xmlns:a16="http://schemas.microsoft.com/office/drawing/2014/main" id="{00000000-0008-0000-0F00-000065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8</xdr:col>
      <xdr:colOff>0</xdr:colOff>
      <xdr:row>11</xdr:row>
      <xdr:rowOff>0</xdr:rowOff>
    </xdr:from>
    <xdr:ext cx="123825" cy="1038225"/>
    <xdr:sp macro="" textlink="">
      <xdr:nvSpPr>
        <xdr:cNvPr id="614" name="Text Box 175">
          <a:extLst>
            <a:ext uri="{FF2B5EF4-FFF2-40B4-BE49-F238E27FC236}">
              <a16:creationId xmlns:a16="http://schemas.microsoft.com/office/drawing/2014/main" id="{00000000-0008-0000-0F00-000066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8</xdr:col>
      <xdr:colOff>0</xdr:colOff>
      <xdr:row>11</xdr:row>
      <xdr:rowOff>0</xdr:rowOff>
    </xdr:from>
    <xdr:ext cx="123825" cy="1038225"/>
    <xdr:sp macro="" textlink="">
      <xdr:nvSpPr>
        <xdr:cNvPr id="615" name="Text Box 176">
          <a:extLst>
            <a:ext uri="{FF2B5EF4-FFF2-40B4-BE49-F238E27FC236}">
              <a16:creationId xmlns:a16="http://schemas.microsoft.com/office/drawing/2014/main" id="{00000000-0008-0000-0F00-000067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11</xdr:row>
      <xdr:rowOff>0</xdr:rowOff>
    </xdr:from>
    <xdr:ext cx="123825" cy="1038225"/>
    <xdr:sp macro="" textlink="">
      <xdr:nvSpPr>
        <xdr:cNvPr id="616" name="Text Box 178">
          <a:extLst>
            <a:ext uri="{FF2B5EF4-FFF2-40B4-BE49-F238E27FC236}">
              <a16:creationId xmlns:a16="http://schemas.microsoft.com/office/drawing/2014/main" id="{00000000-0008-0000-0F00-000068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11</xdr:row>
      <xdr:rowOff>0</xdr:rowOff>
    </xdr:from>
    <xdr:ext cx="123825" cy="1038225"/>
    <xdr:sp macro="" textlink="">
      <xdr:nvSpPr>
        <xdr:cNvPr id="617" name="Text Box 179">
          <a:extLst>
            <a:ext uri="{FF2B5EF4-FFF2-40B4-BE49-F238E27FC236}">
              <a16:creationId xmlns:a16="http://schemas.microsoft.com/office/drawing/2014/main" id="{00000000-0008-0000-0F00-000069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11</xdr:row>
      <xdr:rowOff>0</xdr:rowOff>
    </xdr:from>
    <xdr:ext cx="123825" cy="1038225"/>
    <xdr:sp macro="" textlink="">
      <xdr:nvSpPr>
        <xdr:cNvPr id="618" name="Text Box 180">
          <a:extLst>
            <a:ext uri="{FF2B5EF4-FFF2-40B4-BE49-F238E27FC236}">
              <a16:creationId xmlns:a16="http://schemas.microsoft.com/office/drawing/2014/main" id="{00000000-0008-0000-0F00-00006A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11</xdr:row>
      <xdr:rowOff>0</xdr:rowOff>
    </xdr:from>
    <xdr:ext cx="123825" cy="1038225"/>
    <xdr:sp macro="" textlink="">
      <xdr:nvSpPr>
        <xdr:cNvPr id="619" name="Text Box 181">
          <a:extLst>
            <a:ext uri="{FF2B5EF4-FFF2-40B4-BE49-F238E27FC236}">
              <a16:creationId xmlns:a16="http://schemas.microsoft.com/office/drawing/2014/main" id="{00000000-0008-0000-0F00-00006B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11</xdr:row>
      <xdr:rowOff>0</xdr:rowOff>
    </xdr:from>
    <xdr:ext cx="123825" cy="1038225"/>
    <xdr:sp macro="" textlink="">
      <xdr:nvSpPr>
        <xdr:cNvPr id="620" name="Text Box 182">
          <a:extLst>
            <a:ext uri="{FF2B5EF4-FFF2-40B4-BE49-F238E27FC236}">
              <a16:creationId xmlns:a16="http://schemas.microsoft.com/office/drawing/2014/main" id="{00000000-0008-0000-0F00-00006C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11</xdr:row>
      <xdr:rowOff>0</xdr:rowOff>
    </xdr:from>
    <xdr:ext cx="123825" cy="1038225"/>
    <xdr:sp macro="" textlink="">
      <xdr:nvSpPr>
        <xdr:cNvPr id="621" name="Text Box 183">
          <a:extLst>
            <a:ext uri="{FF2B5EF4-FFF2-40B4-BE49-F238E27FC236}">
              <a16:creationId xmlns:a16="http://schemas.microsoft.com/office/drawing/2014/main" id="{00000000-0008-0000-0F00-00006D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11</xdr:row>
      <xdr:rowOff>0</xdr:rowOff>
    </xdr:from>
    <xdr:ext cx="123825" cy="1038225"/>
    <xdr:sp macro="" textlink="">
      <xdr:nvSpPr>
        <xdr:cNvPr id="622" name="Text Box 184">
          <a:extLst>
            <a:ext uri="{FF2B5EF4-FFF2-40B4-BE49-F238E27FC236}">
              <a16:creationId xmlns:a16="http://schemas.microsoft.com/office/drawing/2014/main" id="{00000000-0008-0000-0F00-00006E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11</xdr:row>
      <xdr:rowOff>0</xdr:rowOff>
    </xdr:from>
    <xdr:ext cx="123825" cy="1038225"/>
    <xdr:sp macro="" textlink="">
      <xdr:nvSpPr>
        <xdr:cNvPr id="623" name="Text Box 185">
          <a:extLst>
            <a:ext uri="{FF2B5EF4-FFF2-40B4-BE49-F238E27FC236}">
              <a16:creationId xmlns:a16="http://schemas.microsoft.com/office/drawing/2014/main" id="{00000000-0008-0000-0F00-00006F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11</xdr:row>
      <xdr:rowOff>0</xdr:rowOff>
    </xdr:from>
    <xdr:ext cx="114300" cy="1133475"/>
    <xdr:sp macro="" textlink="">
      <xdr:nvSpPr>
        <xdr:cNvPr id="624" name="Text Box 186">
          <a:extLst>
            <a:ext uri="{FF2B5EF4-FFF2-40B4-BE49-F238E27FC236}">
              <a16:creationId xmlns:a16="http://schemas.microsoft.com/office/drawing/2014/main" id="{00000000-0008-0000-0F00-000070020000}"/>
            </a:ext>
          </a:extLst>
        </xdr:cNvPr>
        <xdr:cNvSpPr txBox="1">
          <a:spLocks noChangeArrowheads="1"/>
        </xdr:cNvSpPr>
      </xdr:nvSpPr>
      <xdr:spPr bwMode="auto">
        <a:xfrm>
          <a:off x="3102429" y="4966607"/>
          <a:ext cx="114300" cy="1133475"/>
        </a:xfrm>
        <a:prstGeom prst="rect">
          <a:avLst/>
        </a:prstGeom>
        <a:noFill/>
        <a:ln w="9525">
          <a:noFill/>
          <a:miter lim="800000"/>
          <a:headEnd/>
          <a:tailEnd/>
        </a:ln>
      </xdr:spPr>
    </xdr:sp>
    <xdr:clientData/>
  </xdr:oneCellAnchor>
  <xdr:oneCellAnchor>
    <xdr:from>
      <xdr:col>7</xdr:col>
      <xdr:colOff>0</xdr:colOff>
      <xdr:row>11</xdr:row>
      <xdr:rowOff>0</xdr:rowOff>
    </xdr:from>
    <xdr:ext cx="114300" cy="1133475"/>
    <xdr:sp macro="" textlink="">
      <xdr:nvSpPr>
        <xdr:cNvPr id="625" name="Text Box 187">
          <a:extLst>
            <a:ext uri="{FF2B5EF4-FFF2-40B4-BE49-F238E27FC236}">
              <a16:creationId xmlns:a16="http://schemas.microsoft.com/office/drawing/2014/main" id="{00000000-0008-0000-0F00-000071020000}"/>
            </a:ext>
          </a:extLst>
        </xdr:cNvPr>
        <xdr:cNvSpPr txBox="1">
          <a:spLocks noChangeArrowheads="1"/>
        </xdr:cNvSpPr>
      </xdr:nvSpPr>
      <xdr:spPr bwMode="auto">
        <a:xfrm>
          <a:off x="3102429" y="4966607"/>
          <a:ext cx="114300" cy="1133475"/>
        </a:xfrm>
        <a:prstGeom prst="rect">
          <a:avLst/>
        </a:prstGeom>
        <a:noFill/>
        <a:ln w="9525">
          <a:noFill/>
          <a:miter lim="800000"/>
          <a:headEnd/>
          <a:tailEnd/>
        </a:ln>
      </xdr:spPr>
    </xdr:sp>
    <xdr:clientData/>
  </xdr:oneCellAnchor>
  <xdr:oneCellAnchor>
    <xdr:from>
      <xdr:col>7</xdr:col>
      <xdr:colOff>0</xdr:colOff>
      <xdr:row>11</xdr:row>
      <xdr:rowOff>0</xdr:rowOff>
    </xdr:from>
    <xdr:ext cx="123825" cy="1133475"/>
    <xdr:sp macro="" textlink="">
      <xdr:nvSpPr>
        <xdr:cNvPr id="626" name="Text Box 188">
          <a:extLst>
            <a:ext uri="{FF2B5EF4-FFF2-40B4-BE49-F238E27FC236}">
              <a16:creationId xmlns:a16="http://schemas.microsoft.com/office/drawing/2014/main" id="{00000000-0008-0000-0F00-000072020000}"/>
            </a:ext>
          </a:extLst>
        </xdr:cNvPr>
        <xdr:cNvSpPr txBox="1">
          <a:spLocks noChangeArrowheads="1"/>
        </xdr:cNvSpPr>
      </xdr:nvSpPr>
      <xdr:spPr bwMode="auto">
        <a:xfrm>
          <a:off x="3102429" y="4966607"/>
          <a:ext cx="123825" cy="1133475"/>
        </a:xfrm>
        <a:prstGeom prst="rect">
          <a:avLst/>
        </a:prstGeom>
        <a:noFill/>
        <a:ln w="9525">
          <a:noFill/>
          <a:miter lim="800000"/>
          <a:headEnd/>
          <a:tailEnd/>
        </a:ln>
      </xdr:spPr>
    </xdr:sp>
    <xdr:clientData/>
  </xdr:oneCellAnchor>
  <xdr:oneCellAnchor>
    <xdr:from>
      <xdr:col>7</xdr:col>
      <xdr:colOff>0</xdr:colOff>
      <xdr:row>11</xdr:row>
      <xdr:rowOff>0</xdr:rowOff>
    </xdr:from>
    <xdr:ext cx="123825" cy="1133475"/>
    <xdr:sp macro="" textlink="">
      <xdr:nvSpPr>
        <xdr:cNvPr id="627" name="Text Box 189">
          <a:extLst>
            <a:ext uri="{FF2B5EF4-FFF2-40B4-BE49-F238E27FC236}">
              <a16:creationId xmlns:a16="http://schemas.microsoft.com/office/drawing/2014/main" id="{00000000-0008-0000-0F00-000073020000}"/>
            </a:ext>
          </a:extLst>
        </xdr:cNvPr>
        <xdr:cNvSpPr txBox="1">
          <a:spLocks noChangeArrowheads="1"/>
        </xdr:cNvSpPr>
      </xdr:nvSpPr>
      <xdr:spPr bwMode="auto">
        <a:xfrm>
          <a:off x="3102429" y="4966607"/>
          <a:ext cx="123825" cy="1133475"/>
        </a:xfrm>
        <a:prstGeom prst="rect">
          <a:avLst/>
        </a:prstGeom>
        <a:noFill/>
        <a:ln w="9525">
          <a:noFill/>
          <a:miter lim="800000"/>
          <a:headEnd/>
          <a:tailEnd/>
        </a:ln>
      </xdr:spPr>
    </xdr:sp>
    <xdr:clientData/>
  </xdr:oneCellAnchor>
  <xdr:oneCellAnchor>
    <xdr:from>
      <xdr:col>7</xdr:col>
      <xdr:colOff>0</xdr:colOff>
      <xdr:row>11</xdr:row>
      <xdr:rowOff>0</xdr:rowOff>
    </xdr:from>
    <xdr:ext cx="123825" cy="1133475"/>
    <xdr:sp macro="" textlink="">
      <xdr:nvSpPr>
        <xdr:cNvPr id="628" name="Text Box 190">
          <a:extLst>
            <a:ext uri="{FF2B5EF4-FFF2-40B4-BE49-F238E27FC236}">
              <a16:creationId xmlns:a16="http://schemas.microsoft.com/office/drawing/2014/main" id="{00000000-0008-0000-0F00-000074020000}"/>
            </a:ext>
          </a:extLst>
        </xdr:cNvPr>
        <xdr:cNvSpPr txBox="1">
          <a:spLocks noChangeArrowheads="1"/>
        </xdr:cNvSpPr>
      </xdr:nvSpPr>
      <xdr:spPr bwMode="auto">
        <a:xfrm>
          <a:off x="3102429" y="4966607"/>
          <a:ext cx="123825" cy="1133475"/>
        </a:xfrm>
        <a:prstGeom prst="rect">
          <a:avLst/>
        </a:prstGeom>
        <a:noFill/>
        <a:ln w="9525">
          <a:noFill/>
          <a:miter lim="800000"/>
          <a:headEnd/>
          <a:tailEnd/>
        </a:ln>
      </xdr:spPr>
    </xdr:sp>
    <xdr:clientData/>
  </xdr:oneCellAnchor>
  <xdr:oneCellAnchor>
    <xdr:from>
      <xdr:col>7</xdr:col>
      <xdr:colOff>0</xdr:colOff>
      <xdr:row>11</xdr:row>
      <xdr:rowOff>0</xdr:rowOff>
    </xdr:from>
    <xdr:ext cx="123825" cy="1133475"/>
    <xdr:sp macro="" textlink="">
      <xdr:nvSpPr>
        <xdr:cNvPr id="629" name="Text Box 191">
          <a:extLst>
            <a:ext uri="{FF2B5EF4-FFF2-40B4-BE49-F238E27FC236}">
              <a16:creationId xmlns:a16="http://schemas.microsoft.com/office/drawing/2014/main" id="{00000000-0008-0000-0F00-000075020000}"/>
            </a:ext>
          </a:extLst>
        </xdr:cNvPr>
        <xdr:cNvSpPr txBox="1">
          <a:spLocks noChangeArrowheads="1"/>
        </xdr:cNvSpPr>
      </xdr:nvSpPr>
      <xdr:spPr bwMode="auto">
        <a:xfrm>
          <a:off x="3102429" y="4966607"/>
          <a:ext cx="123825" cy="1133475"/>
        </a:xfrm>
        <a:prstGeom prst="rect">
          <a:avLst/>
        </a:prstGeom>
        <a:noFill/>
        <a:ln w="9525">
          <a:noFill/>
          <a:miter lim="800000"/>
          <a:headEnd/>
          <a:tailEnd/>
        </a:ln>
      </xdr:spPr>
    </xdr:sp>
    <xdr:clientData/>
  </xdr:oneCellAnchor>
  <xdr:oneCellAnchor>
    <xdr:from>
      <xdr:col>7</xdr:col>
      <xdr:colOff>0</xdr:colOff>
      <xdr:row>11</xdr:row>
      <xdr:rowOff>0</xdr:rowOff>
    </xdr:from>
    <xdr:ext cx="123825" cy="1038225"/>
    <xdr:sp macro="" textlink="">
      <xdr:nvSpPr>
        <xdr:cNvPr id="630" name="Text Box 192">
          <a:extLst>
            <a:ext uri="{FF2B5EF4-FFF2-40B4-BE49-F238E27FC236}">
              <a16:creationId xmlns:a16="http://schemas.microsoft.com/office/drawing/2014/main" id="{00000000-0008-0000-0F00-000076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11</xdr:row>
      <xdr:rowOff>0</xdr:rowOff>
    </xdr:from>
    <xdr:ext cx="123825" cy="1038225"/>
    <xdr:sp macro="" textlink="">
      <xdr:nvSpPr>
        <xdr:cNvPr id="631" name="Text Box 193">
          <a:extLst>
            <a:ext uri="{FF2B5EF4-FFF2-40B4-BE49-F238E27FC236}">
              <a16:creationId xmlns:a16="http://schemas.microsoft.com/office/drawing/2014/main" id="{00000000-0008-0000-0F00-000077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11</xdr:row>
      <xdr:rowOff>0</xdr:rowOff>
    </xdr:from>
    <xdr:ext cx="123825" cy="1038225"/>
    <xdr:sp macro="" textlink="">
      <xdr:nvSpPr>
        <xdr:cNvPr id="632" name="Text Box 194">
          <a:extLst>
            <a:ext uri="{FF2B5EF4-FFF2-40B4-BE49-F238E27FC236}">
              <a16:creationId xmlns:a16="http://schemas.microsoft.com/office/drawing/2014/main" id="{00000000-0008-0000-0F00-000078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11</xdr:row>
      <xdr:rowOff>0</xdr:rowOff>
    </xdr:from>
    <xdr:ext cx="123825" cy="1038225"/>
    <xdr:sp macro="" textlink="">
      <xdr:nvSpPr>
        <xdr:cNvPr id="633" name="Text Box 195">
          <a:extLst>
            <a:ext uri="{FF2B5EF4-FFF2-40B4-BE49-F238E27FC236}">
              <a16:creationId xmlns:a16="http://schemas.microsoft.com/office/drawing/2014/main" id="{00000000-0008-0000-0F00-000079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11</xdr:row>
      <xdr:rowOff>0</xdr:rowOff>
    </xdr:from>
    <xdr:ext cx="123825" cy="1038225"/>
    <xdr:sp macro="" textlink="">
      <xdr:nvSpPr>
        <xdr:cNvPr id="634" name="Text Box 196">
          <a:extLst>
            <a:ext uri="{FF2B5EF4-FFF2-40B4-BE49-F238E27FC236}">
              <a16:creationId xmlns:a16="http://schemas.microsoft.com/office/drawing/2014/main" id="{00000000-0008-0000-0F00-00007A020000}"/>
            </a:ext>
          </a:extLst>
        </xdr:cNvPr>
        <xdr:cNvSpPr txBox="1">
          <a:spLocks noChangeArrowheads="1"/>
        </xdr:cNvSpPr>
      </xdr:nvSpPr>
      <xdr:spPr bwMode="auto">
        <a:xfrm>
          <a:off x="3102429" y="4966607"/>
          <a:ext cx="123825" cy="1038225"/>
        </a:xfrm>
        <a:prstGeom prst="rect">
          <a:avLst/>
        </a:prstGeom>
        <a:noFill/>
        <a:ln w="9525">
          <a:noFill/>
          <a:miter lim="800000"/>
          <a:headEnd/>
          <a:tailEnd/>
        </a:ln>
      </xdr:spPr>
    </xdr:sp>
    <xdr:clientData/>
  </xdr:oneCellAnchor>
  <xdr:oneCellAnchor>
    <xdr:from>
      <xdr:col>7</xdr:col>
      <xdr:colOff>0</xdr:colOff>
      <xdr:row>12</xdr:row>
      <xdr:rowOff>0</xdr:rowOff>
    </xdr:from>
    <xdr:ext cx="123825" cy="940252"/>
    <xdr:sp macro="" textlink="">
      <xdr:nvSpPr>
        <xdr:cNvPr id="635" name="Text Box 197">
          <a:extLst>
            <a:ext uri="{FF2B5EF4-FFF2-40B4-BE49-F238E27FC236}">
              <a16:creationId xmlns:a16="http://schemas.microsoft.com/office/drawing/2014/main" id="{00000000-0008-0000-0F00-00007B020000}"/>
            </a:ext>
          </a:extLst>
        </xdr:cNvPr>
        <xdr:cNvSpPr txBox="1">
          <a:spLocks noChangeArrowheads="1"/>
        </xdr:cNvSpPr>
      </xdr:nvSpPr>
      <xdr:spPr bwMode="auto">
        <a:xfrm>
          <a:off x="3102429" y="5388429"/>
          <a:ext cx="123825" cy="940252"/>
        </a:xfrm>
        <a:prstGeom prst="rect">
          <a:avLst/>
        </a:prstGeom>
        <a:noFill/>
        <a:ln w="9525">
          <a:noFill/>
          <a:miter lim="800000"/>
          <a:headEnd/>
          <a:tailEnd/>
        </a:ln>
      </xdr:spPr>
    </xdr:sp>
    <xdr:clientData/>
  </xdr:oneCellAnchor>
  <xdr:oneCellAnchor>
    <xdr:from>
      <xdr:col>7</xdr:col>
      <xdr:colOff>0</xdr:colOff>
      <xdr:row>12</xdr:row>
      <xdr:rowOff>0</xdr:rowOff>
    </xdr:from>
    <xdr:ext cx="123825" cy="940252"/>
    <xdr:sp macro="" textlink="">
      <xdr:nvSpPr>
        <xdr:cNvPr id="636" name="Text Box 198">
          <a:extLst>
            <a:ext uri="{FF2B5EF4-FFF2-40B4-BE49-F238E27FC236}">
              <a16:creationId xmlns:a16="http://schemas.microsoft.com/office/drawing/2014/main" id="{00000000-0008-0000-0F00-00007C020000}"/>
            </a:ext>
          </a:extLst>
        </xdr:cNvPr>
        <xdr:cNvSpPr txBox="1">
          <a:spLocks noChangeArrowheads="1"/>
        </xdr:cNvSpPr>
      </xdr:nvSpPr>
      <xdr:spPr bwMode="auto">
        <a:xfrm>
          <a:off x="3102429" y="5388429"/>
          <a:ext cx="123825" cy="940252"/>
        </a:xfrm>
        <a:prstGeom prst="rect">
          <a:avLst/>
        </a:prstGeom>
        <a:noFill/>
        <a:ln w="9525">
          <a:noFill/>
          <a:miter lim="800000"/>
          <a:headEnd/>
          <a:tailEnd/>
        </a:ln>
      </xdr:spPr>
    </xdr:sp>
    <xdr:clientData/>
  </xdr:oneCellAnchor>
  <xdr:oneCellAnchor>
    <xdr:from>
      <xdr:col>7</xdr:col>
      <xdr:colOff>0</xdr:colOff>
      <xdr:row>12</xdr:row>
      <xdr:rowOff>0</xdr:rowOff>
    </xdr:from>
    <xdr:ext cx="123825" cy="940252"/>
    <xdr:sp macro="" textlink="">
      <xdr:nvSpPr>
        <xdr:cNvPr id="637" name="Text Box 199">
          <a:extLst>
            <a:ext uri="{FF2B5EF4-FFF2-40B4-BE49-F238E27FC236}">
              <a16:creationId xmlns:a16="http://schemas.microsoft.com/office/drawing/2014/main" id="{00000000-0008-0000-0F00-00007D020000}"/>
            </a:ext>
          </a:extLst>
        </xdr:cNvPr>
        <xdr:cNvSpPr txBox="1">
          <a:spLocks noChangeArrowheads="1"/>
        </xdr:cNvSpPr>
      </xdr:nvSpPr>
      <xdr:spPr bwMode="auto">
        <a:xfrm>
          <a:off x="3102429" y="5388429"/>
          <a:ext cx="123825" cy="940252"/>
        </a:xfrm>
        <a:prstGeom prst="rect">
          <a:avLst/>
        </a:prstGeom>
        <a:noFill/>
        <a:ln w="9525">
          <a:noFill/>
          <a:miter lim="800000"/>
          <a:headEnd/>
          <a:tailEnd/>
        </a:ln>
      </xdr:spPr>
    </xdr:sp>
    <xdr:clientData/>
  </xdr:oneCellAnchor>
  <xdr:oneCellAnchor>
    <xdr:from>
      <xdr:col>7</xdr:col>
      <xdr:colOff>0</xdr:colOff>
      <xdr:row>12</xdr:row>
      <xdr:rowOff>0</xdr:rowOff>
    </xdr:from>
    <xdr:ext cx="123825" cy="940252"/>
    <xdr:sp macro="" textlink="">
      <xdr:nvSpPr>
        <xdr:cNvPr id="638" name="Text Box 200">
          <a:extLst>
            <a:ext uri="{FF2B5EF4-FFF2-40B4-BE49-F238E27FC236}">
              <a16:creationId xmlns:a16="http://schemas.microsoft.com/office/drawing/2014/main" id="{00000000-0008-0000-0F00-00007E020000}"/>
            </a:ext>
          </a:extLst>
        </xdr:cNvPr>
        <xdr:cNvSpPr txBox="1">
          <a:spLocks noChangeArrowheads="1"/>
        </xdr:cNvSpPr>
      </xdr:nvSpPr>
      <xdr:spPr bwMode="auto">
        <a:xfrm>
          <a:off x="3102429" y="5388429"/>
          <a:ext cx="123825" cy="940252"/>
        </a:xfrm>
        <a:prstGeom prst="rect">
          <a:avLst/>
        </a:prstGeom>
        <a:noFill/>
        <a:ln w="9525">
          <a:noFill/>
          <a:miter lim="800000"/>
          <a:headEnd/>
          <a:tailEnd/>
        </a:ln>
      </xdr:spPr>
    </xdr:sp>
    <xdr:clientData/>
  </xdr:oneCellAnchor>
  <xdr:oneCellAnchor>
    <xdr:from>
      <xdr:col>7</xdr:col>
      <xdr:colOff>0</xdr:colOff>
      <xdr:row>12</xdr:row>
      <xdr:rowOff>0</xdr:rowOff>
    </xdr:from>
    <xdr:ext cx="123825" cy="940252"/>
    <xdr:sp macro="" textlink="">
      <xdr:nvSpPr>
        <xdr:cNvPr id="639" name="Text Box 201">
          <a:extLst>
            <a:ext uri="{FF2B5EF4-FFF2-40B4-BE49-F238E27FC236}">
              <a16:creationId xmlns:a16="http://schemas.microsoft.com/office/drawing/2014/main" id="{00000000-0008-0000-0F00-00007F020000}"/>
            </a:ext>
          </a:extLst>
        </xdr:cNvPr>
        <xdr:cNvSpPr txBox="1">
          <a:spLocks noChangeArrowheads="1"/>
        </xdr:cNvSpPr>
      </xdr:nvSpPr>
      <xdr:spPr bwMode="auto">
        <a:xfrm>
          <a:off x="3102429" y="5388429"/>
          <a:ext cx="123825" cy="940252"/>
        </a:xfrm>
        <a:prstGeom prst="rect">
          <a:avLst/>
        </a:prstGeom>
        <a:noFill/>
        <a:ln w="9525">
          <a:noFill/>
          <a:miter lim="800000"/>
          <a:headEnd/>
          <a:tailEnd/>
        </a:ln>
      </xdr:spPr>
    </xdr:sp>
    <xdr:clientData/>
  </xdr:oneCellAnchor>
  <xdr:oneCellAnchor>
    <xdr:from>
      <xdr:col>7</xdr:col>
      <xdr:colOff>0</xdr:colOff>
      <xdr:row>12</xdr:row>
      <xdr:rowOff>0</xdr:rowOff>
    </xdr:from>
    <xdr:ext cx="123825" cy="940252"/>
    <xdr:sp macro="" textlink="">
      <xdr:nvSpPr>
        <xdr:cNvPr id="640" name="Text Box 202">
          <a:extLst>
            <a:ext uri="{FF2B5EF4-FFF2-40B4-BE49-F238E27FC236}">
              <a16:creationId xmlns:a16="http://schemas.microsoft.com/office/drawing/2014/main" id="{00000000-0008-0000-0F00-000080020000}"/>
            </a:ext>
          </a:extLst>
        </xdr:cNvPr>
        <xdr:cNvSpPr txBox="1">
          <a:spLocks noChangeArrowheads="1"/>
        </xdr:cNvSpPr>
      </xdr:nvSpPr>
      <xdr:spPr bwMode="auto">
        <a:xfrm>
          <a:off x="3102429" y="5388429"/>
          <a:ext cx="123825" cy="940252"/>
        </a:xfrm>
        <a:prstGeom prst="rect">
          <a:avLst/>
        </a:prstGeom>
        <a:noFill/>
        <a:ln w="9525">
          <a:noFill/>
          <a:miter lim="800000"/>
          <a:headEnd/>
          <a:tailEnd/>
        </a:ln>
      </xdr:spPr>
    </xdr:sp>
    <xdr:clientData/>
  </xdr:oneCellAnchor>
  <xdr:oneCellAnchor>
    <xdr:from>
      <xdr:col>7</xdr:col>
      <xdr:colOff>0</xdr:colOff>
      <xdr:row>12</xdr:row>
      <xdr:rowOff>0</xdr:rowOff>
    </xdr:from>
    <xdr:ext cx="123825" cy="940252"/>
    <xdr:sp macro="" textlink="">
      <xdr:nvSpPr>
        <xdr:cNvPr id="641" name="Text Box 203">
          <a:extLst>
            <a:ext uri="{FF2B5EF4-FFF2-40B4-BE49-F238E27FC236}">
              <a16:creationId xmlns:a16="http://schemas.microsoft.com/office/drawing/2014/main" id="{00000000-0008-0000-0F00-000081020000}"/>
            </a:ext>
          </a:extLst>
        </xdr:cNvPr>
        <xdr:cNvSpPr txBox="1">
          <a:spLocks noChangeArrowheads="1"/>
        </xdr:cNvSpPr>
      </xdr:nvSpPr>
      <xdr:spPr bwMode="auto">
        <a:xfrm>
          <a:off x="3102429" y="5388429"/>
          <a:ext cx="123825" cy="940252"/>
        </a:xfrm>
        <a:prstGeom prst="rect">
          <a:avLst/>
        </a:prstGeom>
        <a:noFill/>
        <a:ln w="9525">
          <a:noFill/>
          <a:miter lim="800000"/>
          <a:headEnd/>
          <a:tailEnd/>
        </a:ln>
      </xdr:spPr>
    </xdr:sp>
    <xdr:clientData/>
  </xdr:oneCellAnchor>
  <xdr:oneCellAnchor>
    <xdr:from>
      <xdr:col>7</xdr:col>
      <xdr:colOff>0</xdr:colOff>
      <xdr:row>12</xdr:row>
      <xdr:rowOff>0</xdr:rowOff>
    </xdr:from>
    <xdr:ext cx="123825" cy="940252"/>
    <xdr:sp macro="" textlink="">
      <xdr:nvSpPr>
        <xdr:cNvPr id="642" name="Text Box 204">
          <a:extLst>
            <a:ext uri="{FF2B5EF4-FFF2-40B4-BE49-F238E27FC236}">
              <a16:creationId xmlns:a16="http://schemas.microsoft.com/office/drawing/2014/main" id="{00000000-0008-0000-0F00-000082020000}"/>
            </a:ext>
          </a:extLst>
        </xdr:cNvPr>
        <xdr:cNvSpPr txBox="1">
          <a:spLocks noChangeArrowheads="1"/>
        </xdr:cNvSpPr>
      </xdr:nvSpPr>
      <xdr:spPr bwMode="auto">
        <a:xfrm>
          <a:off x="3102429" y="5388429"/>
          <a:ext cx="123825" cy="940252"/>
        </a:xfrm>
        <a:prstGeom prst="rect">
          <a:avLst/>
        </a:prstGeom>
        <a:noFill/>
        <a:ln w="9525">
          <a:noFill/>
          <a:miter lim="800000"/>
          <a:headEnd/>
          <a:tailEnd/>
        </a:ln>
      </xdr:spPr>
    </xdr:sp>
    <xdr:clientData/>
  </xdr:oneCellAnchor>
  <xdr:oneCellAnchor>
    <xdr:from>
      <xdr:col>7</xdr:col>
      <xdr:colOff>0</xdr:colOff>
      <xdr:row>12</xdr:row>
      <xdr:rowOff>0</xdr:rowOff>
    </xdr:from>
    <xdr:ext cx="114300" cy="1054552"/>
    <xdr:sp macro="" textlink="">
      <xdr:nvSpPr>
        <xdr:cNvPr id="643" name="Text Box 205">
          <a:extLst>
            <a:ext uri="{FF2B5EF4-FFF2-40B4-BE49-F238E27FC236}">
              <a16:creationId xmlns:a16="http://schemas.microsoft.com/office/drawing/2014/main" id="{00000000-0008-0000-0F00-000083020000}"/>
            </a:ext>
          </a:extLst>
        </xdr:cNvPr>
        <xdr:cNvSpPr txBox="1">
          <a:spLocks noChangeArrowheads="1"/>
        </xdr:cNvSpPr>
      </xdr:nvSpPr>
      <xdr:spPr bwMode="auto">
        <a:xfrm>
          <a:off x="3102429" y="5388429"/>
          <a:ext cx="114300" cy="1054552"/>
        </a:xfrm>
        <a:prstGeom prst="rect">
          <a:avLst/>
        </a:prstGeom>
        <a:noFill/>
        <a:ln w="9525">
          <a:noFill/>
          <a:miter lim="800000"/>
          <a:headEnd/>
          <a:tailEnd/>
        </a:ln>
      </xdr:spPr>
    </xdr:sp>
    <xdr:clientData/>
  </xdr:oneCellAnchor>
  <xdr:oneCellAnchor>
    <xdr:from>
      <xdr:col>7</xdr:col>
      <xdr:colOff>0</xdr:colOff>
      <xdr:row>12</xdr:row>
      <xdr:rowOff>0</xdr:rowOff>
    </xdr:from>
    <xdr:ext cx="114300" cy="1054552"/>
    <xdr:sp macro="" textlink="">
      <xdr:nvSpPr>
        <xdr:cNvPr id="644" name="Text Box 206">
          <a:extLst>
            <a:ext uri="{FF2B5EF4-FFF2-40B4-BE49-F238E27FC236}">
              <a16:creationId xmlns:a16="http://schemas.microsoft.com/office/drawing/2014/main" id="{00000000-0008-0000-0F00-000084020000}"/>
            </a:ext>
          </a:extLst>
        </xdr:cNvPr>
        <xdr:cNvSpPr txBox="1">
          <a:spLocks noChangeArrowheads="1"/>
        </xdr:cNvSpPr>
      </xdr:nvSpPr>
      <xdr:spPr bwMode="auto">
        <a:xfrm>
          <a:off x="3102429" y="5388429"/>
          <a:ext cx="114300" cy="1054552"/>
        </a:xfrm>
        <a:prstGeom prst="rect">
          <a:avLst/>
        </a:prstGeom>
        <a:noFill/>
        <a:ln w="9525">
          <a:noFill/>
          <a:miter lim="800000"/>
          <a:headEnd/>
          <a:tailEnd/>
        </a:ln>
      </xdr:spPr>
    </xdr:sp>
    <xdr:clientData/>
  </xdr:oneCellAnchor>
  <xdr:oneCellAnchor>
    <xdr:from>
      <xdr:col>7</xdr:col>
      <xdr:colOff>0</xdr:colOff>
      <xdr:row>12</xdr:row>
      <xdr:rowOff>0</xdr:rowOff>
    </xdr:from>
    <xdr:ext cx="123825" cy="1054552"/>
    <xdr:sp macro="" textlink="">
      <xdr:nvSpPr>
        <xdr:cNvPr id="645" name="Text Box 207">
          <a:extLst>
            <a:ext uri="{FF2B5EF4-FFF2-40B4-BE49-F238E27FC236}">
              <a16:creationId xmlns:a16="http://schemas.microsoft.com/office/drawing/2014/main" id="{00000000-0008-0000-0F00-000085020000}"/>
            </a:ext>
          </a:extLst>
        </xdr:cNvPr>
        <xdr:cNvSpPr txBox="1">
          <a:spLocks noChangeArrowheads="1"/>
        </xdr:cNvSpPr>
      </xdr:nvSpPr>
      <xdr:spPr bwMode="auto">
        <a:xfrm>
          <a:off x="3102429" y="5388429"/>
          <a:ext cx="123825" cy="1054552"/>
        </a:xfrm>
        <a:prstGeom prst="rect">
          <a:avLst/>
        </a:prstGeom>
        <a:noFill/>
        <a:ln w="9525">
          <a:noFill/>
          <a:miter lim="800000"/>
          <a:headEnd/>
          <a:tailEnd/>
        </a:ln>
      </xdr:spPr>
    </xdr:sp>
    <xdr:clientData/>
  </xdr:oneCellAnchor>
  <xdr:oneCellAnchor>
    <xdr:from>
      <xdr:col>7</xdr:col>
      <xdr:colOff>0</xdr:colOff>
      <xdr:row>12</xdr:row>
      <xdr:rowOff>0</xdr:rowOff>
    </xdr:from>
    <xdr:ext cx="123825" cy="1054552"/>
    <xdr:sp macro="" textlink="">
      <xdr:nvSpPr>
        <xdr:cNvPr id="646" name="Text Box 208">
          <a:extLst>
            <a:ext uri="{FF2B5EF4-FFF2-40B4-BE49-F238E27FC236}">
              <a16:creationId xmlns:a16="http://schemas.microsoft.com/office/drawing/2014/main" id="{00000000-0008-0000-0F00-000086020000}"/>
            </a:ext>
          </a:extLst>
        </xdr:cNvPr>
        <xdr:cNvSpPr txBox="1">
          <a:spLocks noChangeArrowheads="1"/>
        </xdr:cNvSpPr>
      </xdr:nvSpPr>
      <xdr:spPr bwMode="auto">
        <a:xfrm>
          <a:off x="3102429" y="5388429"/>
          <a:ext cx="123825" cy="1054552"/>
        </a:xfrm>
        <a:prstGeom prst="rect">
          <a:avLst/>
        </a:prstGeom>
        <a:noFill/>
        <a:ln w="9525">
          <a:noFill/>
          <a:miter lim="800000"/>
          <a:headEnd/>
          <a:tailEnd/>
        </a:ln>
      </xdr:spPr>
    </xdr:sp>
    <xdr:clientData/>
  </xdr:oneCellAnchor>
  <xdr:oneCellAnchor>
    <xdr:from>
      <xdr:col>7</xdr:col>
      <xdr:colOff>0</xdr:colOff>
      <xdr:row>12</xdr:row>
      <xdr:rowOff>0</xdr:rowOff>
    </xdr:from>
    <xdr:ext cx="123825" cy="1054552"/>
    <xdr:sp macro="" textlink="">
      <xdr:nvSpPr>
        <xdr:cNvPr id="647" name="Text Box 209">
          <a:extLst>
            <a:ext uri="{FF2B5EF4-FFF2-40B4-BE49-F238E27FC236}">
              <a16:creationId xmlns:a16="http://schemas.microsoft.com/office/drawing/2014/main" id="{00000000-0008-0000-0F00-000087020000}"/>
            </a:ext>
          </a:extLst>
        </xdr:cNvPr>
        <xdr:cNvSpPr txBox="1">
          <a:spLocks noChangeArrowheads="1"/>
        </xdr:cNvSpPr>
      </xdr:nvSpPr>
      <xdr:spPr bwMode="auto">
        <a:xfrm>
          <a:off x="3102429" y="5388429"/>
          <a:ext cx="123825" cy="1054552"/>
        </a:xfrm>
        <a:prstGeom prst="rect">
          <a:avLst/>
        </a:prstGeom>
        <a:noFill/>
        <a:ln w="9525">
          <a:noFill/>
          <a:miter lim="800000"/>
          <a:headEnd/>
          <a:tailEnd/>
        </a:ln>
      </xdr:spPr>
    </xdr:sp>
    <xdr:clientData/>
  </xdr:oneCellAnchor>
  <xdr:oneCellAnchor>
    <xdr:from>
      <xdr:col>7</xdr:col>
      <xdr:colOff>0</xdr:colOff>
      <xdr:row>12</xdr:row>
      <xdr:rowOff>0</xdr:rowOff>
    </xdr:from>
    <xdr:ext cx="123825" cy="1054552"/>
    <xdr:sp macro="" textlink="">
      <xdr:nvSpPr>
        <xdr:cNvPr id="648" name="Text Box 210">
          <a:extLst>
            <a:ext uri="{FF2B5EF4-FFF2-40B4-BE49-F238E27FC236}">
              <a16:creationId xmlns:a16="http://schemas.microsoft.com/office/drawing/2014/main" id="{00000000-0008-0000-0F00-000088020000}"/>
            </a:ext>
          </a:extLst>
        </xdr:cNvPr>
        <xdr:cNvSpPr txBox="1">
          <a:spLocks noChangeArrowheads="1"/>
        </xdr:cNvSpPr>
      </xdr:nvSpPr>
      <xdr:spPr bwMode="auto">
        <a:xfrm>
          <a:off x="3102429" y="5388429"/>
          <a:ext cx="123825" cy="1054552"/>
        </a:xfrm>
        <a:prstGeom prst="rect">
          <a:avLst/>
        </a:prstGeom>
        <a:noFill/>
        <a:ln w="9525">
          <a:noFill/>
          <a:miter lim="800000"/>
          <a:headEnd/>
          <a:tailEnd/>
        </a:ln>
      </xdr:spPr>
    </xdr:sp>
    <xdr:clientData/>
  </xdr:oneCellAnchor>
  <xdr:oneCellAnchor>
    <xdr:from>
      <xdr:col>7</xdr:col>
      <xdr:colOff>0</xdr:colOff>
      <xdr:row>12</xdr:row>
      <xdr:rowOff>0</xdr:rowOff>
    </xdr:from>
    <xdr:ext cx="123825" cy="940252"/>
    <xdr:sp macro="" textlink="">
      <xdr:nvSpPr>
        <xdr:cNvPr id="649" name="Text Box 211">
          <a:extLst>
            <a:ext uri="{FF2B5EF4-FFF2-40B4-BE49-F238E27FC236}">
              <a16:creationId xmlns:a16="http://schemas.microsoft.com/office/drawing/2014/main" id="{00000000-0008-0000-0F00-000089020000}"/>
            </a:ext>
          </a:extLst>
        </xdr:cNvPr>
        <xdr:cNvSpPr txBox="1">
          <a:spLocks noChangeArrowheads="1"/>
        </xdr:cNvSpPr>
      </xdr:nvSpPr>
      <xdr:spPr bwMode="auto">
        <a:xfrm>
          <a:off x="3102429" y="5388429"/>
          <a:ext cx="123825" cy="940252"/>
        </a:xfrm>
        <a:prstGeom prst="rect">
          <a:avLst/>
        </a:prstGeom>
        <a:noFill/>
        <a:ln w="9525">
          <a:noFill/>
          <a:miter lim="800000"/>
          <a:headEnd/>
          <a:tailEnd/>
        </a:ln>
      </xdr:spPr>
    </xdr:sp>
    <xdr:clientData/>
  </xdr:oneCellAnchor>
  <xdr:oneCellAnchor>
    <xdr:from>
      <xdr:col>7</xdr:col>
      <xdr:colOff>0</xdr:colOff>
      <xdr:row>12</xdr:row>
      <xdr:rowOff>0</xdr:rowOff>
    </xdr:from>
    <xdr:ext cx="123825" cy="940252"/>
    <xdr:sp macro="" textlink="">
      <xdr:nvSpPr>
        <xdr:cNvPr id="650" name="Text Box 212">
          <a:extLst>
            <a:ext uri="{FF2B5EF4-FFF2-40B4-BE49-F238E27FC236}">
              <a16:creationId xmlns:a16="http://schemas.microsoft.com/office/drawing/2014/main" id="{00000000-0008-0000-0F00-00008A020000}"/>
            </a:ext>
          </a:extLst>
        </xdr:cNvPr>
        <xdr:cNvSpPr txBox="1">
          <a:spLocks noChangeArrowheads="1"/>
        </xdr:cNvSpPr>
      </xdr:nvSpPr>
      <xdr:spPr bwMode="auto">
        <a:xfrm>
          <a:off x="3102429" y="5388429"/>
          <a:ext cx="123825" cy="940252"/>
        </a:xfrm>
        <a:prstGeom prst="rect">
          <a:avLst/>
        </a:prstGeom>
        <a:noFill/>
        <a:ln w="9525">
          <a:noFill/>
          <a:miter lim="800000"/>
          <a:headEnd/>
          <a:tailEnd/>
        </a:ln>
      </xdr:spPr>
    </xdr:sp>
    <xdr:clientData/>
  </xdr:oneCellAnchor>
  <xdr:oneCellAnchor>
    <xdr:from>
      <xdr:col>7</xdr:col>
      <xdr:colOff>0</xdr:colOff>
      <xdr:row>12</xdr:row>
      <xdr:rowOff>0</xdr:rowOff>
    </xdr:from>
    <xdr:ext cx="123825" cy="940252"/>
    <xdr:sp macro="" textlink="">
      <xdr:nvSpPr>
        <xdr:cNvPr id="651" name="Text Box 213">
          <a:extLst>
            <a:ext uri="{FF2B5EF4-FFF2-40B4-BE49-F238E27FC236}">
              <a16:creationId xmlns:a16="http://schemas.microsoft.com/office/drawing/2014/main" id="{00000000-0008-0000-0F00-00008B020000}"/>
            </a:ext>
          </a:extLst>
        </xdr:cNvPr>
        <xdr:cNvSpPr txBox="1">
          <a:spLocks noChangeArrowheads="1"/>
        </xdr:cNvSpPr>
      </xdr:nvSpPr>
      <xdr:spPr bwMode="auto">
        <a:xfrm>
          <a:off x="3102429" y="5388429"/>
          <a:ext cx="123825" cy="940252"/>
        </a:xfrm>
        <a:prstGeom prst="rect">
          <a:avLst/>
        </a:prstGeom>
        <a:noFill/>
        <a:ln w="9525">
          <a:noFill/>
          <a:miter lim="800000"/>
          <a:headEnd/>
          <a:tailEnd/>
        </a:ln>
      </xdr:spPr>
    </xdr:sp>
    <xdr:clientData/>
  </xdr:oneCellAnchor>
  <xdr:oneCellAnchor>
    <xdr:from>
      <xdr:col>7</xdr:col>
      <xdr:colOff>0</xdr:colOff>
      <xdr:row>12</xdr:row>
      <xdr:rowOff>0</xdr:rowOff>
    </xdr:from>
    <xdr:ext cx="123825" cy="940252"/>
    <xdr:sp macro="" textlink="">
      <xdr:nvSpPr>
        <xdr:cNvPr id="652" name="Text Box 214">
          <a:extLst>
            <a:ext uri="{FF2B5EF4-FFF2-40B4-BE49-F238E27FC236}">
              <a16:creationId xmlns:a16="http://schemas.microsoft.com/office/drawing/2014/main" id="{00000000-0008-0000-0F00-00008C020000}"/>
            </a:ext>
          </a:extLst>
        </xdr:cNvPr>
        <xdr:cNvSpPr txBox="1">
          <a:spLocks noChangeArrowheads="1"/>
        </xdr:cNvSpPr>
      </xdr:nvSpPr>
      <xdr:spPr bwMode="auto">
        <a:xfrm>
          <a:off x="3102429" y="5388429"/>
          <a:ext cx="123825" cy="940252"/>
        </a:xfrm>
        <a:prstGeom prst="rect">
          <a:avLst/>
        </a:prstGeom>
        <a:noFill/>
        <a:ln w="9525">
          <a:noFill/>
          <a:miter lim="800000"/>
          <a:headEnd/>
          <a:tailEnd/>
        </a:ln>
      </xdr:spPr>
    </xdr:sp>
    <xdr:clientData/>
  </xdr:oneCellAnchor>
  <xdr:oneCellAnchor>
    <xdr:from>
      <xdr:col>7</xdr:col>
      <xdr:colOff>0</xdr:colOff>
      <xdr:row>14</xdr:row>
      <xdr:rowOff>0</xdr:rowOff>
    </xdr:from>
    <xdr:ext cx="123825" cy="1522640"/>
    <xdr:sp macro="" textlink="">
      <xdr:nvSpPr>
        <xdr:cNvPr id="653" name="Text Box 216">
          <a:extLst>
            <a:ext uri="{FF2B5EF4-FFF2-40B4-BE49-F238E27FC236}">
              <a16:creationId xmlns:a16="http://schemas.microsoft.com/office/drawing/2014/main" id="{00000000-0008-0000-0F00-00008D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7</xdr:col>
      <xdr:colOff>0</xdr:colOff>
      <xdr:row>14</xdr:row>
      <xdr:rowOff>0</xdr:rowOff>
    </xdr:from>
    <xdr:ext cx="123825" cy="1522640"/>
    <xdr:sp macro="" textlink="">
      <xdr:nvSpPr>
        <xdr:cNvPr id="654" name="Text Box 217">
          <a:extLst>
            <a:ext uri="{FF2B5EF4-FFF2-40B4-BE49-F238E27FC236}">
              <a16:creationId xmlns:a16="http://schemas.microsoft.com/office/drawing/2014/main" id="{00000000-0008-0000-0F00-00008E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7</xdr:col>
      <xdr:colOff>0</xdr:colOff>
      <xdr:row>14</xdr:row>
      <xdr:rowOff>0</xdr:rowOff>
    </xdr:from>
    <xdr:ext cx="123825" cy="1522640"/>
    <xdr:sp macro="" textlink="">
      <xdr:nvSpPr>
        <xdr:cNvPr id="655" name="Text Box 218">
          <a:extLst>
            <a:ext uri="{FF2B5EF4-FFF2-40B4-BE49-F238E27FC236}">
              <a16:creationId xmlns:a16="http://schemas.microsoft.com/office/drawing/2014/main" id="{00000000-0008-0000-0F00-00008F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7</xdr:col>
      <xdr:colOff>0</xdr:colOff>
      <xdr:row>14</xdr:row>
      <xdr:rowOff>0</xdr:rowOff>
    </xdr:from>
    <xdr:ext cx="123825" cy="1522640"/>
    <xdr:sp macro="" textlink="">
      <xdr:nvSpPr>
        <xdr:cNvPr id="656" name="Text Box 219">
          <a:extLst>
            <a:ext uri="{FF2B5EF4-FFF2-40B4-BE49-F238E27FC236}">
              <a16:creationId xmlns:a16="http://schemas.microsoft.com/office/drawing/2014/main" id="{00000000-0008-0000-0F00-000090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7</xdr:col>
      <xdr:colOff>0</xdr:colOff>
      <xdr:row>14</xdr:row>
      <xdr:rowOff>0</xdr:rowOff>
    </xdr:from>
    <xdr:ext cx="123825" cy="1522640"/>
    <xdr:sp macro="" textlink="">
      <xdr:nvSpPr>
        <xdr:cNvPr id="657" name="Text Box 220">
          <a:extLst>
            <a:ext uri="{FF2B5EF4-FFF2-40B4-BE49-F238E27FC236}">
              <a16:creationId xmlns:a16="http://schemas.microsoft.com/office/drawing/2014/main" id="{00000000-0008-0000-0F00-000091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7</xdr:col>
      <xdr:colOff>0</xdr:colOff>
      <xdr:row>14</xdr:row>
      <xdr:rowOff>0</xdr:rowOff>
    </xdr:from>
    <xdr:ext cx="123825" cy="1522640"/>
    <xdr:sp macro="" textlink="">
      <xdr:nvSpPr>
        <xdr:cNvPr id="658" name="Text Box 221">
          <a:extLst>
            <a:ext uri="{FF2B5EF4-FFF2-40B4-BE49-F238E27FC236}">
              <a16:creationId xmlns:a16="http://schemas.microsoft.com/office/drawing/2014/main" id="{00000000-0008-0000-0F00-000092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7</xdr:col>
      <xdr:colOff>0</xdr:colOff>
      <xdr:row>14</xdr:row>
      <xdr:rowOff>0</xdr:rowOff>
    </xdr:from>
    <xdr:ext cx="123825" cy="1522640"/>
    <xdr:sp macro="" textlink="">
      <xdr:nvSpPr>
        <xdr:cNvPr id="659" name="Text Box 222">
          <a:extLst>
            <a:ext uri="{FF2B5EF4-FFF2-40B4-BE49-F238E27FC236}">
              <a16:creationId xmlns:a16="http://schemas.microsoft.com/office/drawing/2014/main" id="{00000000-0008-0000-0F00-000093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7</xdr:col>
      <xdr:colOff>0</xdr:colOff>
      <xdr:row>14</xdr:row>
      <xdr:rowOff>0</xdr:rowOff>
    </xdr:from>
    <xdr:ext cx="123825" cy="1522640"/>
    <xdr:sp macro="" textlink="">
      <xdr:nvSpPr>
        <xdr:cNvPr id="660" name="Text Box 223">
          <a:extLst>
            <a:ext uri="{FF2B5EF4-FFF2-40B4-BE49-F238E27FC236}">
              <a16:creationId xmlns:a16="http://schemas.microsoft.com/office/drawing/2014/main" id="{00000000-0008-0000-0F00-000094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7</xdr:col>
      <xdr:colOff>0</xdr:colOff>
      <xdr:row>14</xdr:row>
      <xdr:rowOff>0</xdr:rowOff>
    </xdr:from>
    <xdr:ext cx="114300" cy="2137683"/>
    <xdr:sp macro="" textlink="">
      <xdr:nvSpPr>
        <xdr:cNvPr id="661" name="Text Box 224">
          <a:extLst>
            <a:ext uri="{FF2B5EF4-FFF2-40B4-BE49-F238E27FC236}">
              <a16:creationId xmlns:a16="http://schemas.microsoft.com/office/drawing/2014/main" id="{00000000-0008-0000-0F00-000095020000}"/>
            </a:ext>
          </a:extLst>
        </xdr:cNvPr>
        <xdr:cNvSpPr txBox="1">
          <a:spLocks noChangeArrowheads="1"/>
        </xdr:cNvSpPr>
      </xdr:nvSpPr>
      <xdr:spPr bwMode="auto">
        <a:xfrm>
          <a:off x="3102429" y="6504214"/>
          <a:ext cx="114300" cy="2137683"/>
        </a:xfrm>
        <a:prstGeom prst="rect">
          <a:avLst/>
        </a:prstGeom>
        <a:noFill/>
        <a:ln w="9525">
          <a:noFill/>
          <a:miter lim="800000"/>
          <a:headEnd/>
          <a:tailEnd/>
        </a:ln>
      </xdr:spPr>
    </xdr:sp>
    <xdr:clientData/>
  </xdr:oneCellAnchor>
  <xdr:oneCellAnchor>
    <xdr:from>
      <xdr:col>7</xdr:col>
      <xdr:colOff>0</xdr:colOff>
      <xdr:row>14</xdr:row>
      <xdr:rowOff>0</xdr:rowOff>
    </xdr:from>
    <xdr:ext cx="123825" cy="2137683"/>
    <xdr:sp macro="" textlink="">
      <xdr:nvSpPr>
        <xdr:cNvPr id="662" name="Text Box 226">
          <a:extLst>
            <a:ext uri="{FF2B5EF4-FFF2-40B4-BE49-F238E27FC236}">
              <a16:creationId xmlns:a16="http://schemas.microsoft.com/office/drawing/2014/main" id="{00000000-0008-0000-0F00-000096020000}"/>
            </a:ext>
          </a:extLst>
        </xdr:cNvPr>
        <xdr:cNvSpPr txBox="1">
          <a:spLocks noChangeArrowheads="1"/>
        </xdr:cNvSpPr>
      </xdr:nvSpPr>
      <xdr:spPr bwMode="auto">
        <a:xfrm>
          <a:off x="3102429" y="6504214"/>
          <a:ext cx="123825" cy="2137683"/>
        </a:xfrm>
        <a:prstGeom prst="rect">
          <a:avLst/>
        </a:prstGeom>
        <a:noFill/>
        <a:ln w="9525">
          <a:noFill/>
          <a:miter lim="800000"/>
          <a:headEnd/>
          <a:tailEnd/>
        </a:ln>
      </xdr:spPr>
    </xdr:sp>
    <xdr:clientData/>
  </xdr:oneCellAnchor>
  <xdr:oneCellAnchor>
    <xdr:from>
      <xdr:col>7</xdr:col>
      <xdr:colOff>0</xdr:colOff>
      <xdr:row>14</xdr:row>
      <xdr:rowOff>0</xdr:rowOff>
    </xdr:from>
    <xdr:ext cx="123825" cy="2137683"/>
    <xdr:sp macro="" textlink="">
      <xdr:nvSpPr>
        <xdr:cNvPr id="663" name="Text Box 227">
          <a:extLst>
            <a:ext uri="{FF2B5EF4-FFF2-40B4-BE49-F238E27FC236}">
              <a16:creationId xmlns:a16="http://schemas.microsoft.com/office/drawing/2014/main" id="{00000000-0008-0000-0F00-000097020000}"/>
            </a:ext>
          </a:extLst>
        </xdr:cNvPr>
        <xdr:cNvSpPr txBox="1">
          <a:spLocks noChangeArrowheads="1"/>
        </xdr:cNvSpPr>
      </xdr:nvSpPr>
      <xdr:spPr bwMode="auto">
        <a:xfrm>
          <a:off x="3102429" y="6504214"/>
          <a:ext cx="123825" cy="2137683"/>
        </a:xfrm>
        <a:prstGeom prst="rect">
          <a:avLst/>
        </a:prstGeom>
        <a:noFill/>
        <a:ln w="9525">
          <a:noFill/>
          <a:miter lim="800000"/>
          <a:headEnd/>
          <a:tailEnd/>
        </a:ln>
      </xdr:spPr>
    </xdr:sp>
    <xdr:clientData/>
  </xdr:oneCellAnchor>
  <xdr:oneCellAnchor>
    <xdr:from>
      <xdr:col>7</xdr:col>
      <xdr:colOff>0</xdr:colOff>
      <xdr:row>14</xdr:row>
      <xdr:rowOff>0</xdr:rowOff>
    </xdr:from>
    <xdr:ext cx="123825" cy="2137683"/>
    <xdr:sp macro="" textlink="">
      <xdr:nvSpPr>
        <xdr:cNvPr id="664" name="Text Box 228">
          <a:extLst>
            <a:ext uri="{FF2B5EF4-FFF2-40B4-BE49-F238E27FC236}">
              <a16:creationId xmlns:a16="http://schemas.microsoft.com/office/drawing/2014/main" id="{00000000-0008-0000-0F00-000098020000}"/>
            </a:ext>
          </a:extLst>
        </xdr:cNvPr>
        <xdr:cNvSpPr txBox="1">
          <a:spLocks noChangeArrowheads="1"/>
        </xdr:cNvSpPr>
      </xdr:nvSpPr>
      <xdr:spPr bwMode="auto">
        <a:xfrm>
          <a:off x="3102429" y="6504214"/>
          <a:ext cx="123825" cy="2137683"/>
        </a:xfrm>
        <a:prstGeom prst="rect">
          <a:avLst/>
        </a:prstGeom>
        <a:noFill/>
        <a:ln w="9525">
          <a:noFill/>
          <a:miter lim="800000"/>
          <a:headEnd/>
          <a:tailEnd/>
        </a:ln>
      </xdr:spPr>
    </xdr:sp>
    <xdr:clientData/>
  </xdr:oneCellAnchor>
  <xdr:oneCellAnchor>
    <xdr:from>
      <xdr:col>7</xdr:col>
      <xdr:colOff>0</xdr:colOff>
      <xdr:row>14</xdr:row>
      <xdr:rowOff>0</xdr:rowOff>
    </xdr:from>
    <xdr:ext cx="123825" cy="2137683"/>
    <xdr:sp macro="" textlink="">
      <xdr:nvSpPr>
        <xdr:cNvPr id="665" name="Text Box 229">
          <a:extLst>
            <a:ext uri="{FF2B5EF4-FFF2-40B4-BE49-F238E27FC236}">
              <a16:creationId xmlns:a16="http://schemas.microsoft.com/office/drawing/2014/main" id="{00000000-0008-0000-0F00-000099020000}"/>
            </a:ext>
          </a:extLst>
        </xdr:cNvPr>
        <xdr:cNvSpPr txBox="1">
          <a:spLocks noChangeArrowheads="1"/>
        </xdr:cNvSpPr>
      </xdr:nvSpPr>
      <xdr:spPr bwMode="auto">
        <a:xfrm>
          <a:off x="3102429" y="6504214"/>
          <a:ext cx="123825" cy="2137683"/>
        </a:xfrm>
        <a:prstGeom prst="rect">
          <a:avLst/>
        </a:prstGeom>
        <a:noFill/>
        <a:ln w="9525">
          <a:noFill/>
          <a:miter lim="800000"/>
          <a:headEnd/>
          <a:tailEnd/>
        </a:ln>
      </xdr:spPr>
    </xdr:sp>
    <xdr:clientData/>
  </xdr:oneCellAnchor>
  <xdr:oneCellAnchor>
    <xdr:from>
      <xdr:col>7</xdr:col>
      <xdr:colOff>0</xdr:colOff>
      <xdr:row>14</xdr:row>
      <xdr:rowOff>0</xdr:rowOff>
    </xdr:from>
    <xdr:ext cx="123825" cy="1522640"/>
    <xdr:sp macro="" textlink="">
      <xdr:nvSpPr>
        <xdr:cNvPr id="666" name="Text Box 230">
          <a:extLst>
            <a:ext uri="{FF2B5EF4-FFF2-40B4-BE49-F238E27FC236}">
              <a16:creationId xmlns:a16="http://schemas.microsoft.com/office/drawing/2014/main" id="{00000000-0008-0000-0F00-00009A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7</xdr:col>
      <xdr:colOff>0</xdr:colOff>
      <xdr:row>14</xdr:row>
      <xdr:rowOff>0</xdr:rowOff>
    </xdr:from>
    <xdr:ext cx="123825" cy="1522640"/>
    <xdr:sp macro="" textlink="">
      <xdr:nvSpPr>
        <xdr:cNvPr id="667" name="Text Box 231">
          <a:extLst>
            <a:ext uri="{FF2B5EF4-FFF2-40B4-BE49-F238E27FC236}">
              <a16:creationId xmlns:a16="http://schemas.microsoft.com/office/drawing/2014/main" id="{00000000-0008-0000-0F00-00009B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7</xdr:col>
      <xdr:colOff>0</xdr:colOff>
      <xdr:row>14</xdr:row>
      <xdr:rowOff>0</xdr:rowOff>
    </xdr:from>
    <xdr:ext cx="123825" cy="1522640"/>
    <xdr:sp macro="" textlink="">
      <xdr:nvSpPr>
        <xdr:cNvPr id="668" name="Text Box 232">
          <a:extLst>
            <a:ext uri="{FF2B5EF4-FFF2-40B4-BE49-F238E27FC236}">
              <a16:creationId xmlns:a16="http://schemas.microsoft.com/office/drawing/2014/main" id="{00000000-0008-0000-0F00-00009C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7</xdr:col>
      <xdr:colOff>0</xdr:colOff>
      <xdr:row>14</xdr:row>
      <xdr:rowOff>0</xdr:rowOff>
    </xdr:from>
    <xdr:ext cx="123825" cy="1522640"/>
    <xdr:sp macro="" textlink="">
      <xdr:nvSpPr>
        <xdr:cNvPr id="669" name="Text Box 233">
          <a:extLst>
            <a:ext uri="{FF2B5EF4-FFF2-40B4-BE49-F238E27FC236}">
              <a16:creationId xmlns:a16="http://schemas.microsoft.com/office/drawing/2014/main" id="{00000000-0008-0000-0F00-00009D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9</xdr:col>
      <xdr:colOff>0</xdr:colOff>
      <xdr:row>11</xdr:row>
      <xdr:rowOff>0</xdr:rowOff>
    </xdr:from>
    <xdr:ext cx="123825" cy="1038225"/>
    <xdr:sp macro="" textlink="">
      <xdr:nvSpPr>
        <xdr:cNvPr id="671" name="Text Box 178">
          <a:extLst>
            <a:ext uri="{FF2B5EF4-FFF2-40B4-BE49-F238E27FC236}">
              <a16:creationId xmlns:a16="http://schemas.microsoft.com/office/drawing/2014/main" id="{00000000-0008-0000-0F00-00009F020000}"/>
            </a:ext>
          </a:extLst>
        </xdr:cNvPr>
        <xdr:cNvSpPr txBox="1">
          <a:spLocks noChangeArrowheads="1"/>
        </xdr:cNvSpPr>
      </xdr:nvSpPr>
      <xdr:spPr bwMode="auto">
        <a:xfrm>
          <a:off x="6572250" y="4966607"/>
          <a:ext cx="123825" cy="1038225"/>
        </a:xfrm>
        <a:prstGeom prst="rect">
          <a:avLst/>
        </a:prstGeom>
        <a:noFill/>
        <a:ln w="9525">
          <a:noFill/>
          <a:miter lim="800000"/>
          <a:headEnd/>
          <a:tailEnd/>
        </a:ln>
      </xdr:spPr>
    </xdr:sp>
    <xdr:clientData/>
  </xdr:oneCellAnchor>
  <xdr:oneCellAnchor>
    <xdr:from>
      <xdr:col>9</xdr:col>
      <xdr:colOff>0</xdr:colOff>
      <xdr:row>10</xdr:row>
      <xdr:rowOff>299356</xdr:rowOff>
    </xdr:from>
    <xdr:ext cx="123825" cy="1147082"/>
    <xdr:sp macro="" textlink="">
      <xdr:nvSpPr>
        <xdr:cNvPr id="672" name="Text Box 179">
          <a:extLst>
            <a:ext uri="{FF2B5EF4-FFF2-40B4-BE49-F238E27FC236}">
              <a16:creationId xmlns:a16="http://schemas.microsoft.com/office/drawing/2014/main" id="{00000000-0008-0000-0F00-0000A0020000}"/>
            </a:ext>
          </a:extLst>
        </xdr:cNvPr>
        <xdr:cNvSpPr txBox="1">
          <a:spLocks noChangeArrowheads="1"/>
        </xdr:cNvSpPr>
      </xdr:nvSpPr>
      <xdr:spPr bwMode="auto">
        <a:xfrm>
          <a:off x="6436179" y="4830535"/>
          <a:ext cx="123825" cy="1147082"/>
        </a:xfrm>
        <a:prstGeom prst="rect">
          <a:avLst/>
        </a:prstGeom>
        <a:noFill/>
        <a:ln w="9525">
          <a:noFill/>
          <a:miter lim="800000"/>
          <a:headEnd/>
          <a:tailEnd/>
        </a:ln>
      </xdr:spPr>
    </xdr:sp>
    <xdr:clientData/>
  </xdr:oneCellAnchor>
  <xdr:oneCellAnchor>
    <xdr:from>
      <xdr:col>9</xdr:col>
      <xdr:colOff>0</xdr:colOff>
      <xdr:row>11</xdr:row>
      <xdr:rowOff>0</xdr:rowOff>
    </xdr:from>
    <xdr:ext cx="123825" cy="1038225"/>
    <xdr:sp macro="" textlink="">
      <xdr:nvSpPr>
        <xdr:cNvPr id="673" name="Text Box 180">
          <a:extLst>
            <a:ext uri="{FF2B5EF4-FFF2-40B4-BE49-F238E27FC236}">
              <a16:creationId xmlns:a16="http://schemas.microsoft.com/office/drawing/2014/main" id="{00000000-0008-0000-0F00-0000A1020000}"/>
            </a:ext>
          </a:extLst>
        </xdr:cNvPr>
        <xdr:cNvSpPr txBox="1">
          <a:spLocks noChangeArrowheads="1"/>
        </xdr:cNvSpPr>
      </xdr:nvSpPr>
      <xdr:spPr bwMode="auto">
        <a:xfrm>
          <a:off x="5619750" y="4966607"/>
          <a:ext cx="123825" cy="1038225"/>
        </a:xfrm>
        <a:prstGeom prst="rect">
          <a:avLst/>
        </a:prstGeom>
        <a:noFill/>
        <a:ln w="9525">
          <a:noFill/>
          <a:miter lim="800000"/>
          <a:headEnd/>
          <a:tailEnd/>
        </a:ln>
      </xdr:spPr>
    </xdr:sp>
    <xdr:clientData/>
  </xdr:oneCellAnchor>
  <xdr:oneCellAnchor>
    <xdr:from>
      <xdr:col>9</xdr:col>
      <xdr:colOff>0</xdr:colOff>
      <xdr:row>11</xdr:row>
      <xdr:rowOff>0</xdr:rowOff>
    </xdr:from>
    <xdr:ext cx="123825" cy="1038225"/>
    <xdr:sp macro="" textlink="">
      <xdr:nvSpPr>
        <xdr:cNvPr id="674" name="Text Box 181">
          <a:extLst>
            <a:ext uri="{FF2B5EF4-FFF2-40B4-BE49-F238E27FC236}">
              <a16:creationId xmlns:a16="http://schemas.microsoft.com/office/drawing/2014/main" id="{00000000-0008-0000-0F00-0000A2020000}"/>
            </a:ext>
          </a:extLst>
        </xdr:cNvPr>
        <xdr:cNvSpPr txBox="1">
          <a:spLocks noChangeArrowheads="1"/>
        </xdr:cNvSpPr>
      </xdr:nvSpPr>
      <xdr:spPr bwMode="auto">
        <a:xfrm>
          <a:off x="5619750" y="4966607"/>
          <a:ext cx="123825" cy="1038225"/>
        </a:xfrm>
        <a:prstGeom prst="rect">
          <a:avLst/>
        </a:prstGeom>
        <a:noFill/>
        <a:ln w="9525">
          <a:noFill/>
          <a:miter lim="800000"/>
          <a:headEnd/>
          <a:tailEnd/>
        </a:ln>
      </xdr:spPr>
    </xdr:sp>
    <xdr:clientData/>
  </xdr:oneCellAnchor>
  <xdr:oneCellAnchor>
    <xdr:from>
      <xdr:col>9</xdr:col>
      <xdr:colOff>0</xdr:colOff>
      <xdr:row>11</xdr:row>
      <xdr:rowOff>0</xdr:rowOff>
    </xdr:from>
    <xdr:ext cx="123825" cy="1038225"/>
    <xdr:sp macro="" textlink="">
      <xdr:nvSpPr>
        <xdr:cNvPr id="675" name="Text Box 182">
          <a:extLst>
            <a:ext uri="{FF2B5EF4-FFF2-40B4-BE49-F238E27FC236}">
              <a16:creationId xmlns:a16="http://schemas.microsoft.com/office/drawing/2014/main" id="{00000000-0008-0000-0F00-0000A3020000}"/>
            </a:ext>
          </a:extLst>
        </xdr:cNvPr>
        <xdr:cNvSpPr txBox="1">
          <a:spLocks noChangeArrowheads="1"/>
        </xdr:cNvSpPr>
      </xdr:nvSpPr>
      <xdr:spPr bwMode="auto">
        <a:xfrm>
          <a:off x="5619750" y="4966607"/>
          <a:ext cx="123825" cy="1038225"/>
        </a:xfrm>
        <a:prstGeom prst="rect">
          <a:avLst/>
        </a:prstGeom>
        <a:noFill/>
        <a:ln w="9525">
          <a:noFill/>
          <a:miter lim="800000"/>
          <a:headEnd/>
          <a:tailEnd/>
        </a:ln>
      </xdr:spPr>
    </xdr:sp>
    <xdr:clientData/>
  </xdr:oneCellAnchor>
  <xdr:oneCellAnchor>
    <xdr:from>
      <xdr:col>9</xdr:col>
      <xdr:colOff>0</xdr:colOff>
      <xdr:row>11</xdr:row>
      <xdr:rowOff>0</xdr:rowOff>
    </xdr:from>
    <xdr:ext cx="123825" cy="1038225"/>
    <xdr:sp macro="" textlink="">
      <xdr:nvSpPr>
        <xdr:cNvPr id="676" name="Text Box 183">
          <a:extLst>
            <a:ext uri="{FF2B5EF4-FFF2-40B4-BE49-F238E27FC236}">
              <a16:creationId xmlns:a16="http://schemas.microsoft.com/office/drawing/2014/main" id="{00000000-0008-0000-0F00-0000A4020000}"/>
            </a:ext>
          </a:extLst>
        </xdr:cNvPr>
        <xdr:cNvSpPr txBox="1">
          <a:spLocks noChangeArrowheads="1"/>
        </xdr:cNvSpPr>
      </xdr:nvSpPr>
      <xdr:spPr bwMode="auto">
        <a:xfrm>
          <a:off x="5619750" y="4966607"/>
          <a:ext cx="123825" cy="1038225"/>
        </a:xfrm>
        <a:prstGeom prst="rect">
          <a:avLst/>
        </a:prstGeom>
        <a:noFill/>
        <a:ln w="9525">
          <a:noFill/>
          <a:miter lim="800000"/>
          <a:headEnd/>
          <a:tailEnd/>
        </a:ln>
      </xdr:spPr>
    </xdr:sp>
    <xdr:clientData/>
  </xdr:oneCellAnchor>
  <xdr:oneCellAnchor>
    <xdr:from>
      <xdr:col>9</xdr:col>
      <xdr:colOff>0</xdr:colOff>
      <xdr:row>11</xdr:row>
      <xdr:rowOff>0</xdr:rowOff>
    </xdr:from>
    <xdr:ext cx="123825" cy="1038225"/>
    <xdr:sp macro="" textlink="">
      <xdr:nvSpPr>
        <xdr:cNvPr id="677" name="Text Box 184">
          <a:extLst>
            <a:ext uri="{FF2B5EF4-FFF2-40B4-BE49-F238E27FC236}">
              <a16:creationId xmlns:a16="http://schemas.microsoft.com/office/drawing/2014/main" id="{00000000-0008-0000-0F00-0000A5020000}"/>
            </a:ext>
          </a:extLst>
        </xdr:cNvPr>
        <xdr:cNvSpPr txBox="1">
          <a:spLocks noChangeArrowheads="1"/>
        </xdr:cNvSpPr>
      </xdr:nvSpPr>
      <xdr:spPr bwMode="auto">
        <a:xfrm>
          <a:off x="5619750" y="4966607"/>
          <a:ext cx="123825" cy="1038225"/>
        </a:xfrm>
        <a:prstGeom prst="rect">
          <a:avLst/>
        </a:prstGeom>
        <a:noFill/>
        <a:ln w="9525">
          <a:noFill/>
          <a:miter lim="800000"/>
          <a:headEnd/>
          <a:tailEnd/>
        </a:ln>
      </xdr:spPr>
    </xdr:sp>
    <xdr:clientData/>
  </xdr:oneCellAnchor>
  <xdr:oneCellAnchor>
    <xdr:from>
      <xdr:col>9</xdr:col>
      <xdr:colOff>0</xdr:colOff>
      <xdr:row>11</xdr:row>
      <xdr:rowOff>0</xdr:rowOff>
    </xdr:from>
    <xdr:ext cx="123825" cy="1038225"/>
    <xdr:sp macro="" textlink="">
      <xdr:nvSpPr>
        <xdr:cNvPr id="678" name="Text Box 185">
          <a:extLst>
            <a:ext uri="{FF2B5EF4-FFF2-40B4-BE49-F238E27FC236}">
              <a16:creationId xmlns:a16="http://schemas.microsoft.com/office/drawing/2014/main" id="{00000000-0008-0000-0F00-0000A6020000}"/>
            </a:ext>
          </a:extLst>
        </xdr:cNvPr>
        <xdr:cNvSpPr txBox="1">
          <a:spLocks noChangeArrowheads="1"/>
        </xdr:cNvSpPr>
      </xdr:nvSpPr>
      <xdr:spPr bwMode="auto">
        <a:xfrm>
          <a:off x="5619750" y="4966607"/>
          <a:ext cx="123825" cy="1038225"/>
        </a:xfrm>
        <a:prstGeom prst="rect">
          <a:avLst/>
        </a:prstGeom>
        <a:noFill/>
        <a:ln w="9525">
          <a:noFill/>
          <a:miter lim="800000"/>
          <a:headEnd/>
          <a:tailEnd/>
        </a:ln>
      </xdr:spPr>
    </xdr:sp>
    <xdr:clientData/>
  </xdr:oneCellAnchor>
  <xdr:oneCellAnchor>
    <xdr:from>
      <xdr:col>9</xdr:col>
      <xdr:colOff>0</xdr:colOff>
      <xdr:row>11</xdr:row>
      <xdr:rowOff>0</xdr:rowOff>
    </xdr:from>
    <xdr:ext cx="114300" cy="1133475"/>
    <xdr:sp macro="" textlink="">
      <xdr:nvSpPr>
        <xdr:cNvPr id="679" name="Text Box 186">
          <a:extLst>
            <a:ext uri="{FF2B5EF4-FFF2-40B4-BE49-F238E27FC236}">
              <a16:creationId xmlns:a16="http://schemas.microsoft.com/office/drawing/2014/main" id="{00000000-0008-0000-0F00-0000A7020000}"/>
            </a:ext>
          </a:extLst>
        </xdr:cNvPr>
        <xdr:cNvSpPr txBox="1">
          <a:spLocks noChangeArrowheads="1"/>
        </xdr:cNvSpPr>
      </xdr:nvSpPr>
      <xdr:spPr bwMode="auto">
        <a:xfrm>
          <a:off x="5619750" y="4966607"/>
          <a:ext cx="114300" cy="1133475"/>
        </a:xfrm>
        <a:prstGeom prst="rect">
          <a:avLst/>
        </a:prstGeom>
        <a:noFill/>
        <a:ln w="9525">
          <a:noFill/>
          <a:miter lim="800000"/>
          <a:headEnd/>
          <a:tailEnd/>
        </a:ln>
      </xdr:spPr>
    </xdr:sp>
    <xdr:clientData/>
  </xdr:oneCellAnchor>
  <xdr:oneCellAnchor>
    <xdr:from>
      <xdr:col>9</xdr:col>
      <xdr:colOff>0</xdr:colOff>
      <xdr:row>11</xdr:row>
      <xdr:rowOff>0</xdr:rowOff>
    </xdr:from>
    <xdr:ext cx="114300" cy="1133475"/>
    <xdr:sp macro="" textlink="">
      <xdr:nvSpPr>
        <xdr:cNvPr id="680" name="Text Box 187">
          <a:extLst>
            <a:ext uri="{FF2B5EF4-FFF2-40B4-BE49-F238E27FC236}">
              <a16:creationId xmlns:a16="http://schemas.microsoft.com/office/drawing/2014/main" id="{00000000-0008-0000-0F00-0000A8020000}"/>
            </a:ext>
          </a:extLst>
        </xdr:cNvPr>
        <xdr:cNvSpPr txBox="1">
          <a:spLocks noChangeArrowheads="1"/>
        </xdr:cNvSpPr>
      </xdr:nvSpPr>
      <xdr:spPr bwMode="auto">
        <a:xfrm>
          <a:off x="5619750" y="4966607"/>
          <a:ext cx="114300" cy="1133475"/>
        </a:xfrm>
        <a:prstGeom prst="rect">
          <a:avLst/>
        </a:prstGeom>
        <a:noFill/>
        <a:ln w="9525">
          <a:noFill/>
          <a:miter lim="800000"/>
          <a:headEnd/>
          <a:tailEnd/>
        </a:ln>
      </xdr:spPr>
    </xdr:sp>
    <xdr:clientData/>
  </xdr:oneCellAnchor>
  <xdr:oneCellAnchor>
    <xdr:from>
      <xdr:col>9</xdr:col>
      <xdr:colOff>0</xdr:colOff>
      <xdr:row>11</xdr:row>
      <xdr:rowOff>0</xdr:rowOff>
    </xdr:from>
    <xdr:ext cx="123825" cy="1133475"/>
    <xdr:sp macro="" textlink="">
      <xdr:nvSpPr>
        <xdr:cNvPr id="681" name="Text Box 188">
          <a:extLst>
            <a:ext uri="{FF2B5EF4-FFF2-40B4-BE49-F238E27FC236}">
              <a16:creationId xmlns:a16="http://schemas.microsoft.com/office/drawing/2014/main" id="{00000000-0008-0000-0F00-0000A9020000}"/>
            </a:ext>
          </a:extLst>
        </xdr:cNvPr>
        <xdr:cNvSpPr txBox="1">
          <a:spLocks noChangeArrowheads="1"/>
        </xdr:cNvSpPr>
      </xdr:nvSpPr>
      <xdr:spPr bwMode="auto">
        <a:xfrm>
          <a:off x="5619750" y="4966607"/>
          <a:ext cx="123825" cy="1133475"/>
        </a:xfrm>
        <a:prstGeom prst="rect">
          <a:avLst/>
        </a:prstGeom>
        <a:noFill/>
        <a:ln w="9525">
          <a:noFill/>
          <a:miter lim="800000"/>
          <a:headEnd/>
          <a:tailEnd/>
        </a:ln>
      </xdr:spPr>
    </xdr:sp>
    <xdr:clientData/>
  </xdr:oneCellAnchor>
  <xdr:oneCellAnchor>
    <xdr:from>
      <xdr:col>9</xdr:col>
      <xdr:colOff>0</xdr:colOff>
      <xdr:row>11</xdr:row>
      <xdr:rowOff>0</xdr:rowOff>
    </xdr:from>
    <xdr:ext cx="123825" cy="1133475"/>
    <xdr:sp macro="" textlink="">
      <xdr:nvSpPr>
        <xdr:cNvPr id="682" name="Text Box 189">
          <a:extLst>
            <a:ext uri="{FF2B5EF4-FFF2-40B4-BE49-F238E27FC236}">
              <a16:creationId xmlns:a16="http://schemas.microsoft.com/office/drawing/2014/main" id="{00000000-0008-0000-0F00-0000AA020000}"/>
            </a:ext>
          </a:extLst>
        </xdr:cNvPr>
        <xdr:cNvSpPr txBox="1">
          <a:spLocks noChangeArrowheads="1"/>
        </xdr:cNvSpPr>
      </xdr:nvSpPr>
      <xdr:spPr bwMode="auto">
        <a:xfrm>
          <a:off x="5619750" y="4966607"/>
          <a:ext cx="123825" cy="1133475"/>
        </a:xfrm>
        <a:prstGeom prst="rect">
          <a:avLst/>
        </a:prstGeom>
        <a:noFill/>
        <a:ln w="9525">
          <a:noFill/>
          <a:miter lim="800000"/>
          <a:headEnd/>
          <a:tailEnd/>
        </a:ln>
      </xdr:spPr>
    </xdr:sp>
    <xdr:clientData/>
  </xdr:oneCellAnchor>
  <xdr:oneCellAnchor>
    <xdr:from>
      <xdr:col>9</xdr:col>
      <xdr:colOff>0</xdr:colOff>
      <xdr:row>11</xdr:row>
      <xdr:rowOff>0</xdr:rowOff>
    </xdr:from>
    <xdr:ext cx="123825" cy="1133475"/>
    <xdr:sp macro="" textlink="">
      <xdr:nvSpPr>
        <xdr:cNvPr id="683" name="Text Box 190">
          <a:extLst>
            <a:ext uri="{FF2B5EF4-FFF2-40B4-BE49-F238E27FC236}">
              <a16:creationId xmlns:a16="http://schemas.microsoft.com/office/drawing/2014/main" id="{00000000-0008-0000-0F00-0000AB020000}"/>
            </a:ext>
          </a:extLst>
        </xdr:cNvPr>
        <xdr:cNvSpPr txBox="1">
          <a:spLocks noChangeArrowheads="1"/>
        </xdr:cNvSpPr>
      </xdr:nvSpPr>
      <xdr:spPr bwMode="auto">
        <a:xfrm>
          <a:off x="5619750" y="4966607"/>
          <a:ext cx="123825" cy="1133475"/>
        </a:xfrm>
        <a:prstGeom prst="rect">
          <a:avLst/>
        </a:prstGeom>
        <a:noFill/>
        <a:ln w="9525">
          <a:noFill/>
          <a:miter lim="800000"/>
          <a:headEnd/>
          <a:tailEnd/>
        </a:ln>
      </xdr:spPr>
    </xdr:sp>
    <xdr:clientData/>
  </xdr:oneCellAnchor>
  <xdr:oneCellAnchor>
    <xdr:from>
      <xdr:col>9</xdr:col>
      <xdr:colOff>0</xdr:colOff>
      <xdr:row>11</xdr:row>
      <xdr:rowOff>0</xdr:rowOff>
    </xdr:from>
    <xdr:ext cx="123825" cy="1133475"/>
    <xdr:sp macro="" textlink="">
      <xdr:nvSpPr>
        <xdr:cNvPr id="684" name="Text Box 191">
          <a:extLst>
            <a:ext uri="{FF2B5EF4-FFF2-40B4-BE49-F238E27FC236}">
              <a16:creationId xmlns:a16="http://schemas.microsoft.com/office/drawing/2014/main" id="{00000000-0008-0000-0F00-0000AC020000}"/>
            </a:ext>
          </a:extLst>
        </xdr:cNvPr>
        <xdr:cNvSpPr txBox="1">
          <a:spLocks noChangeArrowheads="1"/>
        </xdr:cNvSpPr>
      </xdr:nvSpPr>
      <xdr:spPr bwMode="auto">
        <a:xfrm>
          <a:off x="5619750" y="4966607"/>
          <a:ext cx="123825" cy="1133475"/>
        </a:xfrm>
        <a:prstGeom prst="rect">
          <a:avLst/>
        </a:prstGeom>
        <a:noFill/>
        <a:ln w="9525">
          <a:noFill/>
          <a:miter lim="800000"/>
          <a:headEnd/>
          <a:tailEnd/>
        </a:ln>
      </xdr:spPr>
    </xdr:sp>
    <xdr:clientData/>
  </xdr:oneCellAnchor>
  <xdr:oneCellAnchor>
    <xdr:from>
      <xdr:col>9</xdr:col>
      <xdr:colOff>0</xdr:colOff>
      <xdr:row>11</xdr:row>
      <xdr:rowOff>0</xdr:rowOff>
    </xdr:from>
    <xdr:ext cx="123825" cy="1038225"/>
    <xdr:sp macro="" textlink="">
      <xdr:nvSpPr>
        <xdr:cNvPr id="685" name="Text Box 192">
          <a:extLst>
            <a:ext uri="{FF2B5EF4-FFF2-40B4-BE49-F238E27FC236}">
              <a16:creationId xmlns:a16="http://schemas.microsoft.com/office/drawing/2014/main" id="{00000000-0008-0000-0F00-0000AD020000}"/>
            </a:ext>
          </a:extLst>
        </xdr:cNvPr>
        <xdr:cNvSpPr txBox="1">
          <a:spLocks noChangeArrowheads="1"/>
        </xdr:cNvSpPr>
      </xdr:nvSpPr>
      <xdr:spPr bwMode="auto">
        <a:xfrm>
          <a:off x="5619750" y="4966607"/>
          <a:ext cx="123825" cy="1038225"/>
        </a:xfrm>
        <a:prstGeom prst="rect">
          <a:avLst/>
        </a:prstGeom>
        <a:noFill/>
        <a:ln w="9525">
          <a:noFill/>
          <a:miter lim="800000"/>
          <a:headEnd/>
          <a:tailEnd/>
        </a:ln>
      </xdr:spPr>
    </xdr:sp>
    <xdr:clientData/>
  </xdr:oneCellAnchor>
  <xdr:oneCellAnchor>
    <xdr:from>
      <xdr:col>9</xdr:col>
      <xdr:colOff>0</xdr:colOff>
      <xdr:row>11</xdr:row>
      <xdr:rowOff>0</xdr:rowOff>
    </xdr:from>
    <xdr:ext cx="123825" cy="1038225"/>
    <xdr:sp macro="" textlink="">
      <xdr:nvSpPr>
        <xdr:cNvPr id="686" name="Text Box 193">
          <a:extLst>
            <a:ext uri="{FF2B5EF4-FFF2-40B4-BE49-F238E27FC236}">
              <a16:creationId xmlns:a16="http://schemas.microsoft.com/office/drawing/2014/main" id="{00000000-0008-0000-0F00-0000AE020000}"/>
            </a:ext>
          </a:extLst>
        </xdr:cNvPr>
        <xdr:cNvSpPr txBox="1">
          <a:spLocks noChangeArrowheads="1"/>
        </xdr:cNvSpPr>
      </xdr:nvSpPr>
      <xdr:spPr bwMode="auto">
        <a:xfrm>
          <a:off x="5619750" y="4966607"/>
          <a:ext cx="123825" cy="1038225"/>
        </a:xfrm>
        <a:prstGeom prst="rect">
          <a:avLst/>
        </a:prstGeom>
        <a:noFill/>
        <a:ln w="9525">
          <a:noFill/>
          <a:miter lim="800000"/>
          <a:headEnd/>
          <a:tailEnd/>
        </a:ln>
      </xdr:spPr>
    </xdr:sp>
    <xdr:clientData/>
  </xdr:oneCellAnchor>
  <xdr:oneCellAnchor>
    <xdr:from>
      <xdr:col>9</xdr:col>
      <xdr:colOff>0</xdr:colOff>
      <xdr:row>11</xdr:row>
      <xdr:rowOff>0</xdr:rowOff>
    </xdr:from>
    <xdr:ext cx="123825" cy="1038225"/>
    <xdr:sp macro="" textlink="">
      <xdr:nvSpPr>
        <xdr:cNvPr id="687" name="Text Box 194">
          <a:extLst>
            <a:ext uri="{FF2B5EF4-FFF2-40B4-BE49-F238E27FC236}">
              <a16:creationId xmlns:a16="http://schemas.microsoft.com/office/drawing/2014/main" id="{00000000-0008-0000-0F00-0000AF020000}"/>
            </a:ext>
          </a:extLst>
        </xdr:cNvPr>
        <xdr:cNvSpPr txBox="1">
          <a:spLocks noChangeArrowheads="1"/>
        </xdr:cNvSpPr>
      </xdr:nvSpPr>
      <xdr:spPr bwMode="auto">
        <a:xfrm>
          <a:off x="5619750" y="4966607"/>
          <a:ext cx="123825" cy="1038225"/>
        </a:xfrm>
        <a:prstGeom prst="rect">
          <a:avLst/>
        </a:prstGeom>
        <a:noFill/>
        <a:ln w="9525">
          <a:noFill/>
          <a:miter lim="800000"/>
          <a:headEnd/>
          <a:tailEnd/>
        </a:ln>
      </xdr:spPr>
    </xdr:sp>
    <xdr:clientData/>
  </xdr:oneCellAnchor>
  <xdr:oneCellAnchor>
    <xdr:from>
      <xdr:col>9</xdr:col>
      <xdr:colOff>0</xdr:colOff>
      <xdr:row>11</xdr:row>
      <xdr:rowOff>0</xdr:rowOff>
    </xdr:from>
    <xdr:ext cx="123825" cy="1038225"/>
    <xdr:sp macro="" textlink="">
      <xdr:nvSpPr>
        <xdr:cNvPr id="688" name="Text Box 195">
          <a:extLst>
            <a:ext uri="{FF2B5EF4-FFF2-40B4-BE49-F238E27FC236}">
              <a16:creationId xmlns:a16="http://schemas.microsoft.com/office/drawing/2014/main" id="{00000000-0008-0000-0F00-0000B0020000}"/>
            </a:ext>
          </a:extLst>
        </xdr:cNvPr>
        <xdr:cNvSpPr txBox="1">
          <a:spLocks noChangeArrowheads="1"/>
        </xdr:cNvSpPr>
      </xdr:nvSpPr>
      <xdr:spPr bwMode="auto">
        <a:xfrm>
          <a:off x="5619750" y="4966607"/>
          <a:ext cx="123825" cy="1038225"/>
        </a:xfrm>
        <a:prstGeom prst="rect">
          <a:avLst/>
        </a:prstGeom>
        <a:noFill/>
        <a:ln w="9525">
          <a:noFill/>
          <a:miter lim="800000"/>
          <a:headEnd/>
          <a:tailEnd/>
        </a:ln>
      </xdr:spPr>
    </xdr:sp>
    <xdr:clientData/>
  </xdr:oneCellAnchor>
  <xdr:oneCellAnchor>
    <xdr:from>
      <xdr:col>9</xdr:col>
      <xdr:colOff>0</xdr:colOff>
      <xdr:row>11</xdr:row>
      <xdr:rowOff>0</xdr:rowOff>
    </xdr:from>
    <xdr:ext cx="123825" cy="1038225"/>
    <xdr:sp macro="" textlink="">
      <xdr:nvSpPr>
        <xdr:cNvPr id="689" name="Text Box 196">
          <a:extLst>
            <a:ext uri="{FF2B5EF4-FFF2-40B4-BE49-F238E27FC236}">
              <a16:creationId xmlns:a16="http://schemas.microsoft.com/office/drawing/2014/main" id="{00000000-0008-0000-0F00-0000B1020000}"/>
            </a:ext>
          </a:extLst>
        </xdr:cNvPr>
        <xdr:cNvSpPr txBox="1">
          <a:spLocks noChangeArrowheads="1"/>
        </xdr:cNvSpPr>
      </xdr:nvSpPr>
      <xdr:spPr bwMode="auto">
        <a:xfrm>
          <a:off x="5619750" y="4966607"/>
          <a:ext cx="123825" cy="1038225"/>
        </a:xfrm>
        <a:prstGeom prst="rect">
          <a:avLst/>
        </a:prstGeom>
        <a:noFill/>
        <a:ln w="9525">
          <a:noFill/>
          <a:miter lim="800000"/>
          <a:headEnd/>
          <a:tailEnd/>
        </a:ln>
      </xdr:spPr>
    </xdr:sp>
    <xdr:clientData/>
  </xdr:oneCellAnchor>
  <xdr:oneCellAnchor>
    <xdr:from>
      <xdr:col>9</xdr:col>
      <xdr:colOff>0</xdr:colOff>
      <xdr:row>12</xdr:row>
      <xdr:rowOff>0</xdr:rowOff>
    </xdr:from>
    <xdr:ext cx="123825" cy="940252"/>
    <xdr:sp macro="" textlink="">
      <xdr:nvSpPr>
        <xdr:cNvPr id="690" name="Text Box 197">
          <a:extLst>
            <a:ext uri="{FF2B5EF4-FFF2-40B4-BE49-F238E27FC236}">
              <a16:creationId xmlns:a16="http://schemas.microsoft.com/office/drawing/2014/main" id="{00000000-0008-0000-0F00-0000B2020000}"/>
            </a:ext>
          </a:extLst>
        </xdr:cNvPr>
        <xdr:cNvSpPr txBox="1">
          <a:spLocks noChangeArrowheads="1"/>
        </xdr:cNvSpPr>
      </xdr:nvSpPr>
      <xdr:spPr bwMode="auto">
        <a:xfrm>
          <a:off x="5619750" y="5388429"/>
          <a:ext cx="123825" cy="940252"/>
        </a:xfrm>
        <a:prstGeom prst="rect">
          <a:avLst/>
        </a:prstGeom>
        <a:noFill/>
        <a:ln w="9525">
          <a:noFill/>
          <a:miter lim="800000"/>
          <a:headEnd/>
          <a:tailEnd/>
        </a:ln>
      </xdr:spPr>
    </xdr:sp>
    <xdr:clientData/>
  </xdr:oneCellAnchor>
  <xdr:oneCellAnchor>
    <xdr:from>
      <xdr:col>9</xdr:col>
      <xdr:colOff>0</xdr:colOff>
      <xdr:row>12</xdr:row>
      <xdr:rowOff>0</xdr:rowOff>
    </xdr:from>
    <xdr:ext cx="123825" cy="940252"/>
    <xdr:sp macro="" textlink="">
      <xdr:nvSpPr>
        <xdr:cNvPr id="691" name="Text Box 198">
          <a:extLst>
            <a:ext uri="{FF2B5EF4-FFF2-40B4-BE49-F238E27FC236}">
              <a16:creationId xmlns:a16="http://schemas.microsoft.com/office/drawing/2014/main" id="{00000000-0008-0000-0F00-0000B3020000}"/>
            </a:ext>
          </a:extLst>
        </xdr:cNvPr>
        <xdr:cNvSpPr txBox="1">
          <a:spLocks noChangeArrowheads="1"/>
        </xdr:cNvSpPr>
      </xdr:nvSpPr>
      <xdr:spPr bwMode="auto">
        <a:xfrm>
          <a:off x="5619750" y="5388429"/>
          <a:ext cx="123825" cy="940252"/>
        </a:xfrm>
        <a:prstGeom prst="rect">
          <a:avLst/>
        </a:prstGeom>
        <a:noFill/>
        <a:ln w="9525">
          <a:noFill/>
          <a:miter lim="800000"/>
          <a:headEnd/>
          <a:tailEnd/>
        </a:ln>
      </xdr:spPr>
    </xdr:sp>
    <xdr:clientData/>
  </xdr:oneCellAnchor>
  <xdr:oneCellAnchor>
    <xdr:from>
      <xdr:col>9</xdr:col>
      <xdr:colOff>0</xdr:colOff>
      <xdr:row>12</xdr:row>
      <xdr:rowOff>0</xdr:rowOff>
    </xdr:from>
    <xdr:ext cx="123825" cy="940252"/>
    <xdr:sp macro="" textlink="">
      <xdr:nvSpPr>
        <xdr:cNvPr id="692" name="Text Box 199">
          <a:extLst>
            <a:ext uri="{FF2B5EF4-FFF2-40B4-BE49-F238E27FC236}">
              <a16:creationId xmlns:a16="http://schemas.microsoft.com/office/drawing/2014/main" id="{00000000-0008-0000-0F00-0000B4020000}"/>
            </a:ext>
          </a:extLst>
        </xdr:cNvPr>
        <xdr:cNvSpPr txBox="1">
          <a:spLocks noChangeArrowheads="1"/>
        </xdr:cNvSpPr>
      </xdr:nvSpPr>
      <xdr:spPr bwMode="auto">
        <a:xfrm>
          <a:off x="5619750" y="5388429"/>
          <a:ext cx="123825" cy="940252"/>
        </a:xfrm>
        <a:prstGeom prst="rect">
          <a:avLst/>
        </a:prstGeom>
        <a:noFill/>
        <a:ln w="9525">
          <a:noFill/>
          <a:miter lim="800000"/>
          <a:headEnd/>
          <a:tailEnd/>
        </a:ln>
      </xdr:spPr>
    </xdr:sp>
    <xdr:clientData/>
  </xdr:oneCellAnchor>
  <xdr:oneCellAnchor>
    <xdr:from>
      <xdr:col>9</xdr:col>
      <xdr:colOff>0</xdr:colOff>
      <xdr:row>12</xdr:row>
      <xdr:rowOff>0</xdr:rowOff>
    </xdr:from>
    <xdr:ext cx="123825" cy="940252"/>
    <xdr:sp macro="" textlink="">
      <xdr:nvSpPr>
        <xdr:cNvPr id="693" name="Text Box 200">
          <a:extLst>
            <a:ext uri="{FF2B5EF4-FFF2-40B4-BE49-F238E27FC236}">
              <a16:creationId xmlns:a16="http://schemas.microsoft.com/office/drawing/2014/main" id="{00000000-0008-0000-0F00-0000B5020000}"/>
            </a:ext>
          </a:extLst>
        </xdr:cNvPr>
        <xdr:cNvSpPr txBox="1">
          <a:spLocks noChangeArrowheads="1"/>
        </xdr:cNvSpPr>
      </xdr:nvSpPr>
      <xdr:spPr bwMode="auto">
        <a:xfrm>
          <a:off x="5619750" y="5388429"/>
          <a:ext cx="123825" cy="940252"/>
        </a:xfrm>
        <a:prstGeom prst="rect">
          <a:avLst/>
        </a:prstGeom>
        <a:noFill/>
        <a:ln w="9525">
          <a:noFill/>
          <a:miter lim="800000"/>
          <a:headEnd/>
          <a:tailEnd/>
        </a:ln>
      </xdr:spPr>
    </xdr:sp>
    <xdr:clientData/>
  </xdr:oneCellAnchor>
  <xdr:oneCellAnchor>
    <xdr:from>
      <xdr:col>9</xdr:col>
      <xdr:colOff>0</xdr:colOff>
      <xdr:row>12</xdr:row>
      <xdr:rowOff>0</xdr:rowOff>
    </xdr:from>
    <xdr:ext cx="123825" cy="940252"/>
    <xdr:sp macro="" textlink="">
      <xdr:nvSpPr>
        <xdr:cNvPr id="694" name="Text Box 201">
          <a:extLst>
            <a:ext uri="{FF2B5EF4-FFF2-40B4-BE49-F238E27FC236}">
              <a16:creationId xmlns:a16="http://schemas.microsoft.com/office/drawing/2014/main" id="{00000000-0008-0000-0F00-0000B6020000}"/>
            </a:ext>
          </a:extLst>
        </xdr:cNvPr>
        <xdr:cNvSpPr txBox="1">
          <a:spLocks noChangeArrowheads="1"/>
        </xdr:cNvSpPr>
      </xdr:nvSpPr>
      <xdr:spPr bwMode="auto">
        <a:xfrm>
          <a:off x="5619750" y="5388429"/>
          <a:ext cx="123825" cy="940252"/>
        </a:xfrm>
        <a:prstGeom prst="rect">
          <a:avLst/>
        </a:prstGeom>
        <a:noFill/>
        <a:ln w="9525">
          <a:noFill/>
          <a:miter lim="800000"/>
          <a:headEnd/>
          <a:tailEnd/>
        </a:ln>
      </xdr:spPr>
    </xdr:sp>
    <xdr:clientData/>
  </xdr:oneCellAnchor>
  <xdr:oneCellAnchor>
    <xdr:from>
      <xdr:col>9</xdr:col>
      <xdr:colOff>0</xdr:colOff>
      <xdr:row>12</xdr:row>
      <xdr:rowOff>0</xdr:rowOff>
    </xdr:from>
    <xdr:ext cx="123825" cy="940252"/>
    <xdr:sp macro="" textlink="">
      <xdr:nvSpPr>
        <xdr:cNvPr id="695" name="Text Box 202">
          <a:extLst>
            <a:ext uri="{FF2B5EF4-FFF2-40B4-BE49-F238E27FC236}">
              <a16:creationId xmlns:a16="http://schemas.microsoft.com/office/drawing/2014/main" id="{00000000-0008-0000-0F00-0000B7020000}"/>
            </a:ext>
          </a:extLst>
        </xdr:cNvPr>
        <xdr:cNvSpPr txBox="1">
          <a:spLocks noChangeArrowheads="1"/>
        </xdr:cNvSpPr>
      </xdr:nvSpPr>
      <xdr:spPr bwMode="auto">
        <a:xfrm>
          <a:off x="5619750" y="5388429"/>
          <a:ext cx="123825" cy="940252"/>
        </a:xfrm>
        <a:prstGeom prst="rect">
          <a:avLst/>
        </a:prstGeom>
        <a:noFill/>
        <a:ln w="9525">
          <a:noFill/>
          <a:miter lim="800000"/>
          <a:headEnd/>
          <a:tailEnd/>
        </a:ln>
      </xdr:spPr>
    </xdr:sp>
    <xdr:clientData/>
  </xdr:oneCellAnchor>
  <xdr:oneCellAnchor>
    <xdr:from>
      <xdr:col>9</xdr:col>
      <xdr:colOff>0</xdr:colOff>
      <xdr:row>12</xdr:row>
      <xdr:rowOff>0</xdr:rowOff>
    </xdr:from>
    <xdr:ext cx="123825" cy="940252"/>
    <xdr:sp macro="" textlink="">
      <xdr:nvSpPr>
        <xdr:cNvPr id="696" name="Text Box 203">
          <a:extLst>
            <a:ext uri="{FF2B5EF4-FFF2-40B4-BE49-F238E27FC236}">
              <a16:creationId xmlns:a16="http://schemas.microsoft.com/office/drawing/2014/main" id="{00000000-0008-0000-0F00-0000B8020000}"/>
            </a:ext>
          </a:extLst>
        </xdr:cNvPr>
        <xdr:cNvSpPr txBox="1">
          <a:spLocks noChangeArrowheads="1"/>
        </xdr:cNvSpPr>
      </xdr:nvSpPr>
      <xdr:spPr bwMode="auto">
        <a:xfrm>
          <a:off x="5619750" y="5388429"/>
          <a:ext cx="123825" cy="940252"/>
        </a:xfrm>
        <a:prstGeom prst="rect">
          <a:avLst/>
        </a:prstGeom>
        <a:noFill/>
        <a:ln w="9525">
          <a:noFill/>
          <a:miter lim="800000"/>
          <a:headEnd/>
          <a:tailEnd/>
        </a:ln>
      </xdr:spPr>
    </xdr:sp>
    <xdr:clientData/>
  </xdr:oneCellAnchor>
  <xdr:oneCellAnchor>
    <xdr:from>
      <xdr:col>9</xdr:col>
      <xdr:colOff>0</xdr:colOff>
      <xdr:row>12</xdr:row>
      <xdr:rowOff>0</xdr:rowOff>
    </xdr:from>
    <xdr:ext cx="123825" cy="940252"/>
    <xdr:sp macro="" textlink="">
      <xdr:nvSpPr>
        <xdr:cNvPr id="697" name="Text Box 204">
          <a:extLst>
            <a:ext uri="{FF2B5EF4-FFF2-40B4-BE49-F238E27FC236}">
              <a16:creationId xmlns:a16="http://schemas.microsoft.com/office/drawing/2014/main" id="{00000000-0008-0000-0F00-0000B9020000}"/>
            </a:ext>
          </a:extLst>
        </xdr:cNvPr>
        <xdr:cNvSpPr txBox="1">
          <a:spLocks noChangeArrowheads="1"/>
        </xdr:cNvSpPr>
      </xdr:nvSpPr>
      <xdr:spPr bwMode="auto">
        <a:xfrm>
          <a:off x="5619750" y="5388429"/>
          <a:ext cx="123825" cy="940252"/>
        </a:xfrm>
        <a:prstGeom prst="rect">
          <a:avLst/>
        </a:prstGeom>
        <a:noFill/>
        <a:ln w="9525">
          <a:noFill/>
          <a:miter lim="800000"/>
          <a:headEnd/>
          <a:tailEnd/>
        </a:ln>
      </xdr:spPr>
    </xdr:sp>
    <xdr:clientData/>
  </xdr:oneCellAnchor>
  <xdr:oneCellAnchor>
    <xdr:from>
      <xdr:col>9</xdr:col>
      <xdr:colOff>0</xdr:colOff>
      <xdr:row>12</xdr:row>
      <xdr:rowOff>0</xdr:rowOff>
    </xdr:from>
    <xdr:ext cx="114300" cy="1054552"/>
    <xdr:sp macro="" textlink="">
      <xdr:nvSpPr>
        <xdr:cNvPr id="698" name="Text Box 205">
          <a:extLst>
            <a:ext uri="{FF2B5EF4-FFF2-40B4-BE49-F238E27FC236}">
              <a16:creationId xmlns:a16="http://schemas.microsoft.com/office/drawing/2014/main" id="{00000000-0008-0000-0F00-0000BA020000}"/>
            </a:ext>
          </a:extLst>
        </xdr:cNvPr>
        <xdr:cNvSpPr txBox="1">
          <a:spLocks noChangeArrowheads="1"/>
        </xdr:cNvSpPr>
      </xdr:nvSpPr>
      <xdr:spPr bwMode="auto">
        <a:xfrm>
          <a:off x="5619750" y="5388429"/>
          <a:ext cx="114300" cy="1054552"/>
        </a:xfrm>
        <a:prstGeom prst="rect">
          <a:avLst/>
        </a:prstGeom>
        <a:noFill/>
        <a:ln w="9525">
          <a:noFill/>
          <a:miter lim="800000"/>
          <a:headEnd/>
          <a:tailEnd/>
        </a:ln>
      </xdr:spPr>
    </xdr:sp>
    <xdr:clientData/>
  </xdr:oneCellAnchor>
  <xdr:oneCellAnchor>
    <xdr:from>
      <xdr:col>9</xdr:col>
      <xdr:colOff>0</xdr:colOff>
      <xdr:row>12</xdr:row>
      <xdr:rowOff>0</xdr:rowOff>
    </xdr:from>
    <xdr:ext cx="114300" cy="1054552"/>
    <xdr:sp macro="" textlink="">
      <xdr:nvSpPr>
        <xdr:cNvPr id="699" name="Text Box 206">
          <a:extLst>
            <a:ext uri="{FF2B5EF4-FFF2-40B4-BE49-F238E27FC236}">
              <a16:creationId xmlns:a16="http://schemas.microsoft.com/office/drawing/2014/main" id="{00000000-0008-0000-0F00-0000BB020000}"/>
            </a:ext>
          </a:extLst>
        </xdr:cNvPr>
        <xdr:cNvSpPr txBox="1">
          <a:spLocks noChangeArrowheads="1"/>
        </xdr:cNvSpPr>
      </xdr:nvSpPr>
      <xdr:spPr bwMode="auto">
        <a:xfrm>
          <a:off x="5619750" y="5388429"/>
          <a:ext cx="114300" cy="1054552"/>
        </a:xfrm>
        <a:prstGeom prst="rect">
          <a:avLst/>
        </a:prstGeom>
        <a:noFill/>
        <a:ln w="9525">
          <a:noFill/>
          <a:miter lim="800000"/>
          <a:headEnd/>
          <a:tailEnd/>
        </a:ln>
      </xdr:spPr>
    </xdr:sp>
    <xdr:clientData/>
  </xdr:oneCellAnchor>
  <xdr:oneCellAnchor>
    <xdr:from>
      <xdr:col>9</xdr:col>
      <xdr:colOff>0</xdr:colOff>
      <xdr:row>12</xdr:row>
      <xdr:rowOff>0</xdr:rowOff>
    </xdr:from>
    <xdr:ext cx="123825" cy="1054552"/>
    <xdr:sp macro="" textlink="">
      <xdr:nvSpPr>
        <xdr:cNvPr id="700" name="Text Box 207">
          <a:extLst>
            <a:ext uri="{FF2B5EF4-FFF2-40B4-BE49-F238E27FC236}">
              <a16:creationId xmlns:a16="http://schemas.microsoft.com/office/drawing/2014/main" id="{00000000-0008-0000-0F00-0000BC020000}"/>
            </a:ext>
          </a:extLst>
        </xdr:cNvPr>
        <xdr:cNvSpPr txBox="1">
          <a:spLocks noChangeArrowheads="1"/>
        </xdr:cNvSpPr>
      </xdr:nvSpPr>
      <xdr:spPr bwMode="auto">
        <a:xfrm>
          <a:off x="5619750" y="5388429"/>
          <a:ext cx="123825" cy="1054552"/>
        </a:xfrm>
        <a:prstGeom prst="rect">
          <a:avLst/>
        </a:prstGeom>
        <a:noFill/>
        <a:ln w="9525">
          <a:noFill/>
          <a:miter lim="800000"/>
          <a:headEnd/>
          <a:tailEnd/>
        </a:ln>
      </xdr:spPr>
    </xdr:sp>
    <xdr:clientData/>
  </xdr:oneCellAnchor>
  <xdr:oneCellAnchor>
    <xdr:from>
      <xdr:col>9</xdr:col>
      <xdr:colOff>0</xdr:colOff>
      <xdr:row>12</xdr:row>
      <xdr:rowOff>0</xdr:rowOff>
    </xdr:from>
    <xdr:ext cx="123825" cy="1054552"/>
    <xdr:sp macro="" textlink="">
      <xdr:nvSpPr>
        <xdr:cNvPr id="701" name="Text Box 208">
          <a:extLst>
            <a:ext uri="{FF2B5EF4-FFF2-40B4-BE49-F238E27FC236}">
              <a16:creationId xmlns:a16="http://schemas.microsoft.com/office/drawing/2014/main" id="{00000000-0008-0000-0F00-0000BD020000}"/>
            </a:ext>
          </a:extLst>
        </xdr:cNvPr>
        <xdr:cNvSpPr txBox="1">
          <a:spLocks noChangeArrowheads="1"/>
        </xdr:cNvSpPr>
      </xdr:nvSpPr>
      <xdr:spPr bwMode="auto">
        <a:xfrm>
          <a:off x="5619750" y="5388429"/>
          <a:ext cx="123825" cy="1054552"/>
        </a:xfrm>
        <a:prstGeom prst="rect">
          <a:avLst/>
        </a:prstGeom>
        <a:noFill/>
        <a:ln w="9525">
          <a:noFill/>
          <a:miter lim="800000"/>
          <a:headEnd/>
          <a:tailEnd/>
        </a:ln>
      </xdr:spPr>
    </xdr:sp>
    <xdr:clientData/>
  </xdr:oneCellAnchor>
  <xdr:oneCellAnchor>
    <xdr:from>
      <xdr:col>9</xdr:col>
      <xdr:colOff>0</xdr:colOff>
      <xdr:row>12</xdr:row>
      <xdr:rowOff>0</xdr:rowOff>
    </xdr:from>
    <xdr:ext cx="123825" cy="1054552"/>
    <xdr:sp macro="" textlink="">
      <xdr:nvSpPr>
        <xdr:cNvPr id="702" name="Text Box 209">
          <a:extLst>
            <a:ext uri="{FF2B5EF4-FFF2-40B4-BE49-F238E27FC236}">
              <a16:creationId xmlns:a16="http://schemas.microsoft.com/office/drawing/2014/main" id="{00000000-0008-0000-0F00-0000BE020000}"/>
            </a:ext>
          </a:extLst>
        </xdr:cNvPr>
        <xdr:cNvSpPr txBox="1">
          <a:spLocks noChangeArrowheads="1"/>
        </xdr:cNvSpPr>
      </xdr:nvSpPr>
      <xdr:spPr bwMode="auto">
        <a:xfrm>
          <a:off x="5619750" y="5388429"/>
          <a:ext cx="123825" cy="1054552"/>
        </a:xfrm>
        <a:prstGeom prst="rect">
          <a:avLst/>
        </a:prstGeom>
        <a:noFill/>
        <a:ln w="9525">
          <a:noFill/>
          <a:miter lim="800000"/>
          <a:headEnd/>
          <a:tailEnd/>
        </a:ln>
      </xdr:spPr>
    </xdr:sp>
    <xdr:clientData/>
  </xdr:oneCellAnchor>
  <xdr:oneCellAnchor>
    <xdr:from>
      <xdr:col>9</xdr:col>
      <xdr:colOff>0</xdr:colOff>
      <xdr:row>12</xdr:row>
      <xdr:rowOff>0</xdr:rowOff>
    </xdr:from>
    <xdr:ext cx="123825" cy="1054552"/>
    <xdr:sp macro="" textlink="">
      <xdr:nvSpPr>
        <xdr:cNvPr id="703" name="Text Box 210">
          <a:extLst>
            <a:ext uri="{FF2B5EF4-FFF2-40B4-BE49-F238E27FC236}">
              <a16:creationId xmlns:a16="http://schemas.microsoft.com/office/drawing/2014/main" id="{00000000-0008-0000-0F00-0000BF020000}"/>
            </a:ext>
          </a:extLst>
        </xdr:cNvPr>
        <xdr:cNvSpPr txBox="1">
          <a:spLocks noChangeArrowheads="1"/>
        </xdr:cNvSpPr>
      </xdr:nvSpPr>
      <xdr:spPr bwMode="auto">
        <a:xfrm>
          <a:off x="5619750" y="5388429"/>
          <a:ext cx="123825" cy="1054552"/>
        </a:xfrm>
        <a:prstGeom prst="rect">
          <a:avLst/>
        </a:prstGeom>
        <a:noFill/>
        <a:ln w="9525">
          <a:noFill/>
          <a:miter lim="800000"/>
          <a:headEnd/>
          <a:tailEnd/>
        </a:ln>
      </xdr:spPr>
    </xdr:sp>
    <xdr:clientData/>
  </xdr:oneCellAnchor>
  <xdr:oneCellAnchor>
    <xdr:from>
      <xdr:col>9</xdr:col>
      <xdr:colOff>0</xdr:colOff>
      <xdr:row>12</xdr:row>
      <xdr:rowOff>0</xdr:rowOff>
    </xdr:from>
    <xdr:ext cx="123825" cy="940252"/>
    <xdr:sp macro="" textlink="">
      <xdr:nvSpPr>
        <xdr:cNvPr id="704" name="Text Box 211">
          <a:extLst>
            <a:ext uri="{FF2B5EF4-FFF2-40B4-BE49-F238E27FC236}">
              <a16:creationId xmlns:a16="http://schemas.microsoft.com/office/drawing/2014/main" id="{00000000-0008-0000-0F00-0000C0020000}"/>
            </a:ext>
          </a:extLst>
        </xdr:cNvPr>
        <xdr:cNvSpPr txBox="1">
          <a:spLocks noChangeArrowheads="1"/>
        </xdr:cNvSpPr>
      </xdr:nvSpPr>
      <xdr:spPr bwMode="auto">
        <a:xfrm>
          <a:off x="5619750" y="5388429"/>
          <a:ext cx="123825" cy="940252"/>
        </a:xfrm>
        <a:prstGeom prst="rect">
          <a:avLst/>
        </a:prstGeom>
        <a:noFill/>
        <a:ln w="9525">
          <a:noFill/>
          <a:miter lim="800000"/>
          <a:headEnd/>
          <a:tailEnd/>
        </a:ln>
      </xdr:spPr>
    </xdr:sp>
    <xdr:clientData/>
  </xdr:oneCellAnchor>
  <xdr:oneCellAnchor>
    <xdr:from>
      <xdr:col>9</xdr:col>
      <xdr:colOff>0</xdr:colOff>
      <xdr:row>12</xdr:row>
      <xdr:rowOff>0</xdr:rowOff>
    </xdr:from>
    <xdr:ext cx="123825" cy="940252"/>
    <xdr:sp macro="" textlink="">
      <xdr:nvSpPr>
        <xdr:cNvPr id="705" name="Text Box 212">
          <a:extLst>
            <a:ext uri="{FF2B5EF4-FFF2-40B4-BE49-F238E27FC236}">
              <a16:creationId xmlns:a16="http://schemas.microsoft.com/office/drawing/2014/main" id="{00000000-0008-0000-0F00-0000C1020000}"/>
            </a:ext>
          </a:extLst>
        </xdr:cNvPr>
        <xdr:cNvSpPr txBox="1">
          <a:spLocks noChangeArrowheads="1"/>
        </xdr:cNvSpPr>
      </xdr:nvSpPr>
      <xdr:spPr bwMode="auto">
        <a:xfrm>
          <a:off x="5619750" y="5388429"/>
          <a:ext cx="123825" cy="940252"/>
        </a:xfrm>
        <a:prstGeom prst="rect">
          <a:avLst/>
        </a:prstGeom>
        <a:noFill/>
        <a:ln w="9525">
          <a:noFill/>
          <a:miter lim="800000"/>
          <a:headEnd/>
          <a:tailEnd/>
        </a:ln>
      </xdr:spPr>
    </xdr:sp>
    <xdr:clientData/>
  </xdr:oneCellAnchor>
  <xdr:oneCellAnchor>
    <xdr:from>
      <xdr:col>9</xdr:col>
      <xdr:colOff>0</xdr:colOff>
      <xdr:row>12</xdr:row>
      <xdr:rowOff>0</xdr:rowOff>
    </xdr:from>
    <xdr:ext cx="123825" cy="940252"/>
    <xdr:sp macro="" textlink="">
      <xdr:nvSpPr>
        <xdr:cNvPr id="706" name="Text Box 213">
          <a:extLst>
            <a:ext uri="{FF2B5EF4-FFF2-40B4-BE49-F238E27FC236}">
              <a16:creationId xmlns:a16="http://schemas.microsoft.com/office/drawing/2014/main" id="{00000000-0008-0000-0F00-0000C2020000}"/>
            </a:ext>
          </a:extLst>
        </xdr:cNvPr>
        <xdr:cNvSpPr txBox="1">
          <a:spLocks noChangeArrowheads="1"/>
        </xdr:cNvSpPr>
      </xdr:nvSpPr>
      <xdr:spPr bwMode="auto">
        <a:xfrm>
          <a:off x="5619750" y="5388429"/>
          <a:ext cx="123825" cy="940252"/>
        </a:xfrm>
        <a:prstGeom prst="rect">
          <a:avLst/>
        </a:prstGeom>
        <a:noFill/>
        <a:ln w="9525">
          <a:noFill/>
          <a:miter lim="800000"/>
          <a:headEnd/>
          <a:tailEnd/>
        </a:ln>
      </xdr:spPr>
    </xdr:sp>
    <xdr:clientData/>
  </xdr:oneCellAnchor>
  <xdr:oneCellAnchor>
    <xdr:from>
      <xdr:col>9</xdr:col>
      <xdr:colOff>0</xdr:colOff>
      <xdr:row>12</xdr:row>
      <xdr:rowOff>0</xdr:rowOff>
    </xdr:from>
    <xdr:ext cx="123825" cy="940252"/>
    <xdr:sp macro="" textlink="">
      <xdr:nvSpPr>
        <xdr:cNvPr id="707" name="Text Box 214">
          <a:extLst>
            <a:ext uri="{FF2B5EF4-FFF2-40B4-BE49-F238E27FC236}">
              <a16:creationId xmlns:a16="http://schemas.microsoft.com/office/drawing/2014/main" id="{00000000-0008-0000-0F00-0000C3020000}"/>
            </a:ext>
          </a:extLst>
        </xdr:cNvPr>
        <xdr:cNvSpPr txBox="1">
          <a:spLocks noChangeArrowheads="1"/>
        </xdr:cNvSpPr>
      </xdr:nvSpPr>
      <xdr:spPr bwMode="auto">
        <a:xfrm>
          <a:off x="5619750" y="5388429"/>
          <a:ext cx="123825" cy="940252"/>
        </a:xfrm>
        <a:prstGeom prst="rect">
          <a:avLst/>
        </a:prstGeom>
        <a:noFill/>
        <a:ln w="9525">
          <a:noFill/>
          <a:miter lim="800000"/>
          <a:headEnd/>
          <a:tailEnd/>
        </a:ln>
      </xdr:spPr>
    </xdr:sp>
    <xdr:clientData/>
  </xdr:oneCellAnchor>
  <xdr:oneCellAnchor>
    <xdr:from>
      <xdr:col>9</xdr:col>
      <xdr:colOff>0</xdr:colOff>
      <xdr:row>14</xdr:row>
      <xdr:rowOff>0</xdr:rowOff>
    </xdr:from>
    <xdr:ext cx="123825" cy="1522640"/>
    <xdr:sp macro="" textlink="">
      <xdr:nvSpPr>
        <xdr:cNvPr id="708" name="Text Box 216">
          <a:extLst>
            <a:ext uri="{FF2B5EF4-FFF2-40B4-BE49-F238E27FC236}">
              <a16:creationId xmlns:a16="http://schemas.microsoft.com/office/drawing/2014/main" id="{00000000-0008-0000-0F00-0000C4020000}"/>
            </a:ext>
          </a:extLst>
        </xdr:cNvPr>
        <xdr:cNvSpPr txBox="1">
          <a:spLocks noChangeArrowheads="1"/>
        </xdr:cNvSpPr>
      </xdr:nvSpPr>
      <xdr:spPr bwMode="auto">
        <a:xfrm>
          <a:off x="5619750" y="6504214"/>
          <a:ext cx="123825" cy="1522640"/>
        </a:xfrm>
        <a:prstGeom prst="rect">
          <a:avLst/>
        </a:prstGeom>
        <a:noFill/>
        <a:ln w="9525">
          <a:noFill/>
          <a:miter lim="800000"/>
          <a:headEnd/>
          <a:tailEnd/>
        </a:ln>
      </xdr:spPr>
    </xdr:sp>
    <xdr:clientData/>
  </xdr:oneCellAnchor>
  <xdr:oneCellAnchor>
    <xdr:from>
      <xdr:col>9</xdr:col>
      <xdr:colOff>0</xdr:colOff>
      <xdr:row>14</xdr:row>
      <xdr:rowOff>0</xdr:rowOff>
    </xdr:from>
    <xdr:ext cx="123825" cy="1522640"/>
    <xdr:sp macro="" textlink="">
      <xdr:nvSpPr>
        <xdr:cNvPr id="709" name="Text Box 217">
          <a:extLst>
            <a:ext uri="{FF2B5EF4-FFF2-40B4-BE49-F238E27FC236}">
              <a16:creationId xmlns:a16="http://schemas.microsoft.com/office/drawing/2014/main" id="{00000000-0008-0000-0F00-0000C5020000}"/>
            </a:ext>
          </a:extLst>
        </xdr:cNvPr>
        <xdr:cNvSpPr txBox="1">
          <a:spLocks noChangeArrowheads="1"/>
        </xdr:cNvSpPr>
      </xdr:nvSpPr>
      <xdr:spPr bwMode="auto">
        <a:xfrm>
          <a:off x="5619750" y="6504214"/>
          <a:ext cx="123825" cy="1522640"/>
        </a:xfrm>
        <a:prstGeom prst="rect">
          <a:avLst/>
        </a:prstGeom>
        <a:noFill/>
        <a:ln w="9525">
          <a:noFill/>
          <a:miter lim="800000"/>
          <a:headEnd/>
          <a:tailEnd/>
        </a:ln>
      </xdr:spPr>
    </xdr:sp>
    <xdr:clientData/>
  </xdr:oneCellAnchor>
  <xdr:oneCellAnchor>
    <xdr:from>
      <xdr:col>9</xdr:col>
      <xdr:colOff>0</xdr:colOff>
      <xdr:row>14</xdr:row>
      <xdr:rowOff>0</xdr:rowOff>
    </xdr:from>
    <xdr:ext cx="123825" cy="1522640"/>
    <xdr:sp macro="" textlink="">
      <xdr:nvSpPr>
        <xdr:cNvPr id="710" name="Text Box 218">
          <a:extLst>
            <a:ext uri="{FF2B5EF4-FFF2-40B4-BE49-F238E27FC236}">
              <a16:creationId xmlns:a16="http://schemas.microsoft.com/office/drawing/2014/main" id="{00000000-0008-0000-0F00-0000C6020000}"/>
            </a:ext>
          </a:extLst>
        </xdr:cNvPr>
        <xdr:cNvSpPr txBox="1">
          <a:spLocks noChangeArrowheads="1"/>
        </xdr:cNvSpPr>
      </xdr:nvSpPr>
      <xdr:spPr bwMode="auto">
        <a:xfrm>
          <a:off x="5619750" y="6504214"/>
          <a:ext cx="123825" cy="1522640"/>
        </a:xfrm>
        <a:prstGeom prst="rect">
          <a:avLst/>
        </a:prstGeom>
        <a:noFill/>
        <a:ln w="9525">
          <a:noFill/>
          <a:miter lim="800000"/>
          <a:headEnd/>
          <a:tailEnd/>
        </a:ln>
      </xdr:spPr>
    </xdr:sp>
    <xdr:clientData/>
  </xdr:oneCellAnchor>
  <xdr:oneCellAnchor>
    <xdr:from>
      <xdr:col>9</xdr:col>
      <xdr:colOff>0</xdr:colOff>
      <xdr:row>14</xdr:row>
      <xdr:rowOff>0</xdr:rowOff>
    </xdr:from>
    <xdr:ext cx="123825" cy="1522640"/>
    <xdr:sp macro="" textlink="">
      <xdr:nvSpPr>
        <xdr:cNvPr id="711" name="Text Box 219">
          <a:extLst>
            <a:ext uri="{FF2B5EF4-FFF2-40B4-BE49-F238E27FC236}">
              <a16:creationId xmlns:a16="http://schemas.microsoft.com/office/drawing/2014/main" id="{00000000-0008-0000-0F00-0000C7020000}"/>
            </a:ext>
          </a:extLst>
        </xdr:cNvPr>
        <xdr:cNvSpPr txBox="1">
          <a:spLocks noChangeArrowheads="1"/>
        </xdr:cNvSpPr>
      </xdr:nvSpPr>
      <xdr:spPr bwMode="auto">
        <a:xfrm>
          <a:off x="5619750" y="6504214"/>
          <a:ext cx="123825" cy="1522640"/>
        </a:xfrm>
        <a:prstGeom prst="rect">
          <a:avLst/>
        </a:prstGeom>
        <a:noFill/>
        <a:ln w="9525">
          <a:noFill/>
          <a:miter lim="800000"/>
          <a:headEnd/>
          <a:tailEnd/>
        </a:ln>
      </xdr:spPr>
    </xdr:sp>
    <xdr:clientData/>
  </xdr:oneCellAnchor>
  <xdr:oneCellAnchor>
    <xdr:from>
      <xdr:col>9</xdr:col>
      <xdr:colOff>0</xdr:colOff>
      <xdr:row>14</xdr:row>
      <xdr:rowOff>0</xdr:rowOff>
    </xdr:from>
    <xdr:ext cx="123825" cy="1522640"/>
    <xdr:sp macro="" textlink="">
      <xdr:nvSpPr>
        <xdr:cNvPr id="712" name="Text Box 220">
          <a:extLst>
            <a:ext uri="{FF2B5EF4-FFF2-40B4-BE49-F238E27FC236}">
              <a16:creationId xmlns:a16="http://schemas.microsoft.com/office/drawing/2014/main" id="{00000000-0008-0000-0F00-0000C8020000}"/>
            </a:ext>
          </a:extLst>
        </xdr:cNvPr>
        <xdr:cNvSpPr txBox="1">
          <a:spLocks noChangeArrowheads="1"/>
        </xdr:cNvSpPr>
      </xdr:nvSpPr>
      <xdr:spPr bwMode="auto">
        <a:xfrm>
          <a:off x="5619750" y="6504214"/>
          <a:ext cx="123825" cy="1522640"/>
        </a:xfrm>
        <a:prstGeom prst="rect">
          <a:avLst/>
        </a:prstGeom>
        <a:noFill/>
        <a:ln w="9525">
          <a:noFill/>
          <a:miter lim="800000"/>
          <a:headEnd/>
          <a:tailEnd/>
        </a:ln>
      </xdr:spPr>
    </xdr:sp>
    <xdr:clientData/>
  </xdr:oneCellAnchor>
  <xdr:oneCellAnchor>
    <xdr:from>
      <xdr:col>9</xdr:col>
      <xdr:colOff>0</xdr:colOff>
      <xdr:row>14</xdr:row>
      <xdr:rowOff>0</xdr:rowOff>
    </xdr:from>
    <xdr:ext cx="123825" cy="1522640"/>
    <xdr:sp macro="" textlink="">
      <xdr:nvSpPr>
        <xdr:cNvPr id="713" name="Text Box 221">
          <a:extLst>
            <a:ext uri="{FF2B5EF4-FFF2-40B4-BE49-F238E27FC236}">
              <a16:creationId xmlns:a16="http://schemas.microsoft.com/office/drawing/2014/main" id="{00000000-0008-0000-0F00-0000C9020000}"/>
            </a:ext>
          </a:extLst>
        </xdr:cNvPr>
        <xdr:cNvSpPr txBox="1">
          <a:spLocks noChangeArrowheads="1"/>
        </xdr:cNvSpPr>
      </xdr:nvSpPr>
      <xdr:spPr bwMode="auto">
        <a:xfrm>
          <a:off x="5619750" y="6504214"/>
          <a:ext cx="123825" cy="1522640"/>
        </a:xfrm>
        <a:prstGeom prst="rect">
          <a:avLst/>
        </a:prstGeom>
        <a:noFill/>
        <a:ln w="9525">
          <a:noFill/>
          <a:miter lim="800000"/>
          <a:headEnd/>
          <a:tailEnd/>
        </a:ln>
      </xdr:spPr>
    </xdr:sp>
    <xdr:clientData/>
  </xdr:oneCellAnchor>
  <xdr:oneCellAnchor>
    <xdr:from>
      <xdr:col>9</xdr:col>
      <xdr:colOff>0</xdr:colOff>
      <xdr:row>14</xdr:row>
      <xdr:rowOff>0</xdr:rowOff>
    </xdr:from>
    <xdr:ext cx="123825" cy="1522640"/>
    <xdr:sp macro="" textlink="">
      <xdr:nvSpPr>
        <xdr:cNvPr id="714" name="Text Box 222">
          <a:extLst>
            <a:ext uri="{FF2B5EF4-FFF2-40B4-BE49-F238E27FC236}">
              <a16:creationId xmlns:a16="http://schemas.microsoft.com/office/drawing/2014/main" id="{00000000-0008-0000-0F00-0000CA020000}"/>
            </a:ext>
          </a:extLst>
        </xdr:cNvPr>
        <xdr:cNvSpPr txBox="1">
          <a:spLocks noChangeArrowheads="1"/>
        </xdr:cNvSpPr>
      </xdr:nvSpPr>
      <xdr:spPr bwMode="auto">
        <a:xfrm>
          <a:off x="5619750" y="6504214"/>
          <a:ext cx="123825" cy="1522640"/>
        </a:xfrm>
        <a:prstGeom prst="rect">
          <a:avLst/>
        </a:prstGeom>
        <a:noFill/>
        <a:ln w="9525">
          <a:noFill/>
          <a:miter lim="800000"/>
          <a:headEnd/>
          <a:tailEnd/>
        </a:ln>
      </xdr:spPr>
    </xdr:sp>
    <xdr:clientData/>
  </xdr:oneCellAnchor>
  <xdr:oneCellAnchor>
    <xdr:from>
      <xdr:col>9</xdr:col>
      <xdr:colOff>0</xdr:colOff>
      <xdr:row>14</xdr:row>
      <xdr:rowOff>0</xdr:rowOff>
    </xdr:from>
    <xdr:ext cx="123825" cy="1522640"/>
    <xdr:sp macro="" textlink="">
      <xdr:nvSpPr>
        <xdr:cNvPr id="715" name="Text Box 223">
          <a:extLst>
            <a:ext uri="{FF2B5EF4-FFF2-40B4-BE49-F238E27FC236}">
              <a16:creationId xmlns:a16="http://schemas.microsoft.com/office/drawing/2014/main" id="{00000000-0008-0000-0F00-0000CB020000}"/>
            </a:ext>
          </a:extLst>
        </xdr:cNvPr>
        <xdr:cNvSpPr txBox="1">
          <a:spLocks noChangeArrowheads="1"/>
        </xdr:cNvSpPr>
      </xdr:nvSpPr>
      <xdr:spPr bwMode="auto">
        <a:xfrm>
          <a:off x="5619750" y="6504214"/>
          <a:ext cx="123825" cy="1522640"/>
        </a:xfrm>
        <a:prstGeom prst="rect">
          <a:avLst/>
        </a:prstGeom>
        <a:noFill/>
        <a:ln w="9525">
          <a:noFill/>
          <a:miter lim="800000"/>
          <a:headEnd/>
          <a:tailEnd/>
        </a:ln>
      </xdr:spPr>
    </xdr:sp>
    <xdr:clientData/>
  </xdr:oneCellAnchor>
  <xdr:oneCellAnchor>
    <xdr:from>
      <xdr:col>9</xdr:col>
      <xdr:colOff>0</xdr:colOff>
      <xdr:row>14</xdr:row>
      <xdr:rowOff>0</xdr:rowOff>
    </xdr:from>
    <xdr:ext cx="114300" cy="2137683"/>
    <xdr:sp macro="" textlink="">
      <xdr:nvSpPr>
        <xdr:cNvPr id="716" name="Text Box 224">
          <a:extLst>
            <a:ext uri="{FF2B5EF4-FFF2-40B4-BE49-F238E27FC236}">
              <a16:creationId xmlns:a16="http://schemas.microsoft.com/office/drawing/2014/main" id="{00000000-0008-0000-0F00-0000CC020000}"/>
            </a:ext>
          </a:extLst>
        </xdr:cNvPr>
        <xdr:cNvSpPr txBox="1">
          <a:spLocks noChangeArrowheads="1"/>
        </xdr:cNvSpPr>
      </xdr:nvSpPr>
      <xdr:spPr bwMode="auto">
        <a:xfrm>
          <a:off x="5619750" y="6504214"/>
          <a:ext cx="114300" cy="2137683"/>
        </a:xfrm>
        <a:prstGeom prst="rect">
          <a:avLst/>
        </a:prstGeom>
        <a:noFill/>
        <a:ln w="9525">
          <a:noFill/>
          <a:miter lim="800000"/>
          <a:headEnd/>
          <a:tailEnd/>
        </a:ln>
      </xdr:spPr>
    </xdr:sp>
    <xdr:clientData/>
  </xdr:oneCellAnchor>
  <xdr:oneCellAnchor>
    <xdr:from>
      <xdr:col>9</xdr:col>
      <xdr:colOff>0</xdr:colOff>
      <xdr:row>14</xdr:row>
      <xdr:rowOff>0</xdr:rowOff>
    </xdr:from>
    <xdr:ext cx="123825" cy="2137683"/>
    <xdr:sp macro="" textlink="">
      <xdr:nvSpPr>
        <xdr:cNvPr id="717" name="Text Box 226">
          <a:extLst>
            <a:ext uri="{FF2B5EF4-FFF2-40B4-BE49-F238E27FC236}">
              <a16:creationId xmlns:a16="http://schemas.microsoft.com/office/drawing/2014/main" id="{00000000-0008-0000-0F00-0000CD020000}"/>
            </a:ext>
          </a:extLst>
        </xdr:cNvPr>
        <xdr:cNvSpPr txBox="1">
          <a:spLocks noChangeArrowheads="1"/>
        </xdr:cNvSpPr>
      </xdr:nvSpPr>
      <xdr:spPr bwMode="auto">
        <a:xfrm>
          <a:off x="5619750" y="6504214"/>
          <a:ext cx="123825" cy="2137683"/>
        </a:xfrm>
        <a:prstGeom prst="rect">
          <a:avLst/>
        </a:prstGeom>
        <a:noFill/>
        <a:ln w="9525">
          <a:noFill/>
          <a:miter lim="800000"/>
          <a:headEnd/>
          <a:tailEnd/>
        </a:ln>
      </xdr:spPr>
    </xdr:sp>
    <xdr:clientData/>
  </xdr:oneCellAnchor>
  <xdr:oneCellAnchor>
    <xdr:from>
      <xdr:col>9</xdr:col>
      <xdr:colOff>0</xdr:colOff>
      <xdr:row>14</xdr:row>
      <xdr:rowOff>0</xdr:rowOff>
    </xdr:from>
    <xdr:ext cx="123825" cy="2137683"/>
    <xdr:sp macro="" textlink="">
      <xdr:nvSpPr>
        <xdr:cNvPr id="718" name="Text Box 227">
          <a:extLst>
            <a:ext uri="{FF2B5EF4-FFF2-40B4-BE49-F238E27FC236}">
              <a16:creationId xmlns:a16="http://schemas.microsoft.com/office/drawing/2014/main" id="{00000000-0008-0000-0F00-0000CE020000}"/>
            </a:ext>
          </a:extLst>
        </xdr:cNvPr>
        <xdr:cNvSpPr txBox="1">
          <a:spLocks noChangeArrowheads="1"/>
        </xdr:cNvSpPr>
      </xdr:nvSpPr>
      <xdr:spPr bwMode="auto">
        <a:xfrm>
          <a:off x="5619750" y="6504214"/>
          <a:ext cx="123825" cy="2137683"/>
        </a:xfrm>
        <a:prstGeom prst="rect">
          <a:avLst/>
        </a:prstGeom>
        <a:noFill/>
        <a:ln w="9525">
          <a:noFill/>
          <a:miter lim="800000"/>
          <a:headEnd/>
          <a:tailEnd/>
        </a:ln>
      </xdr:spPr>
    </xdr:sp>
    <xdr:clientData/>
  </xdr:oneCellAnchor>
  <xdr:oneCellAnchor>
    <xdr:from>
      <xdr:col>9</xdr:col>
      <xdr:colOff>0</xdr:colOff>
      <xdr:row>14</xdr:row>
      <xdr:rowOff>0</xdr:rowOff>
    </xdr:from>
    <xdr:ext cx="123825" cy="2137683"/>
    <xdr:sp macro="" textlink="">
      <xdr:nvSpPr>
        <xdr:cNvPr id="719" name="Text Box 228">
          <a:extLst>
            <a:ext uri="{FF2B5EF4-FFF2-40B4-BE49-F238E27FC236}">
              <a16:creationId xmlns:a16="http://schemas.microsoft.com/office/drawing/2014/main" id="{00000000-0008-0000-0F00-0000CF020000}"/>
            </a:ext>
          </a:extLst>
        </xdr:cNvPr>
        <xdr:cNvSpPr txBox="1">
          <a:spLocks noChangeArrowheads="1"/>
        </xdr:cNvSpPr>
      </xdr:nvSpPr>
      <xdr:spPr bwMode="auto">
        <a:xfrm>
          <a:off x="5619750" y="6504214"/>
          <a:ext cx="123825" cy="2137683"/>
        </a:xfrm>
        <a:prstGeom prst="rect">
          <a:avLst/>
        </a:prstGeom>
        <a:noFill/>
        <a:ln w="9525">
          <a:noFill/>
          <a:miter lim="800000"/>
          <a:headEnd/>
          <a:tailEnd/>
        </a:ln>
      </xdr:spPr>
    </xdr:sp>
    <xdr:clientData/>
  </xdr:oneCellAnchor>
  <xdr:oneCellAnchor>
    <xdr:from>
      <xdr:col>9</xdr:col>
      <xdr:colOff>0</xdr:colOff>
      <xdr:row>14</xdr:row>
      <xdr:rowOff>0</xdr:rowOff>
    </xdr:from>
    <xdr:ext cx="123825" cy="1522640"/>
    <xdr:sp macro="" textlink="">
      <xdr:nvSpPr>
        <xdr:cNvPr id="721" name="Text Box 230">
          <a:extLst>
            <a:ext uri="{FF2B5EF4-FFF2-40B4-BE49-F238E27FC236}">
              <a16:creationId xmlns:a16="http://schemas.microsoft.com/office/drawing/2014/main" id="{00000000-0008-0000-0F00-0000D1020000}"/>
            </a:ext>
          </a:extLst>
        </xdr:cNvPr>
        <xdr:cNvSpPr txBox="1">
          <a:spLocks noChangeArrowheads="1"/>
        </xdr:cNvSpPr>
      </xdr:nvSpPr>
      <xdr:spPr bwMode="auto">
        <a:xfrm>
          <a:off x="5619750" y="6504214"/>
          <a:ext cx="123825" cy="1522640"/>
        </a:xfrm>
        <a:prstGeom prst="rect">
          <a:avLst/>
        </a:prstGeom>
        <a:noFill/>
        <a:ln w="9525">
          <a:noFill/>
          <a:miter lim="800000"/>
          <a:headEnd/>
          <a:tailEnd/>
        </a:ln>
      </xdr:spPr>
    </xdr:sp>
    <xdr:clientData/>
  </xdr:oneCellAnchor>
  <xdr:oneCellAnchor>
    <xdr:from>
      <xdr:col>9</xdr:col>
      <xdr:colOff>0</xdr:colOff>
      <xdr:row>14</xdr:row>
      <xdr:rowOff>0</xdr:rowOff>
    </xdr:from>
    <xdr:ext cx="123825" cy="1522640"/>
    <xdr:sp macro="" textlink="">
      <xdr:nvSpPr>
        <xdr:cNvPr id="722" name="Text Box 231">
          <a:extLst>
            <a:ext uri="{FF2B5EF4-FFF2-40B4-BE49-F238E27FC236}">
              <a16:creationId xmlns:a16="http://schemas.microsoft.com/office/drawing/2014/main" id="{00000000-0008-0000-0F00-0000D2020000}"/>
            </a:ext>
          </a:extLst>
        </xdr:cNvPr>
        <xdr:cNvSpPr txBox="1">
          <a:spLocks noChangeArrowheads="1"/>
        </xdr:cNvSpPr>
      </xdr:nvSpPr>
      <xdr:spPr bwMode="auto">
        <a:xfrm>
          <a:off x="5619750" y="6504214"/>
          <a:ext cx="123825" cy="1522640"/>
        </a:xfrm>
        <a:prstGeom prst="rect">
          <a:avLst/>
        </a:prstGeom>
        <a:noFill/>
        <a:ln w="9525">
          <a:noFill/>
          <a:miter lim="800000"/>
          <a:headEnd/>
          <a:tailEnd/>
        </a:ln>
      </xdr:spPr>
    </xdr:sp>
    <xdr:clientData/>
  </xdr:oneCellAnchor>
  <xdr:oneCellAnchor>
    <xdr:from>
      <xdr:col>9</xdr:col>
      <xdr:colOff>0</xdr:colOff>
      <xdr:row>14</xdr:row>
      <xdr:rowOff>0</xdr:rowOff>
    </xdr:from>
    <xdr:ext cx="123825" cy="1522640"/>
    <xdr:sp macro="" textlink="">
      <xdr:nvSpPr>
        <xdr:cNvPr id="723" name="Text Box 232">
          <a:extLst>
            <a:ext uri="{FF2B5EF4-FFF2-40B4-BE49-F238E27FC236}">
              <a16:creationId xmlns:a16="http://schemas.microsoft.com/office/drawing/2014/main" id="{00000000-0008-0000-0F00-0000D3020000}"/>
            </a:ext>
          </a:extLst>
        </xdr:cNvPr>
        <xdr:cNvSpPr txBox="1">
          <a:spLocks noChangeArrowheads="1"/>
        </xdr:cNvSpPr>
      </xdr:nvSpPr>
      <xdr:spPr bwMode="auto">
        <a:xfrm>
          <a:off x="5619750" y="6504214"/>
          <a:ext cx="123825" cy="1522640"/>
        </a:xfrm>
        <a:prstGeom prst="rect">
          <a:avLst/>
        </a:prstGeom>
        <a:noFill/>
        <a:ln w="9525">
          <a:noFill/>
          <a:miter lim="800000"/>
          <a:headEnd/>
          <a:tailEnd/>
        </a:ln>
      </xdr:spPr>
    </xdr:sp>
    <xdr:clientData/>
  </xdr:oneCellAnchor>
  <xdr:oneCellAnchor>
    <xdr:from>
      <xdr:col>9</xdr:col>
      <xdr:colOff>0</xdr:colOff>
      <xdr:row>14</xdr:row>
      <xdr:rowOff>0</xdr:rowOff>
    </xdr:from>
    <xdr:ext cx="123825" cy="1522640"/>
    <xdr:sp macro="" textlink="">
      <xdr:nvSpPr>
        <xdr:cNvPr id="724" name="Text Box 233">
          <a:extLst>
            <a:ext uri="{FF2B5EF4-FFF2-40B4-BE49-F238E27FC236}">
              <a16:creationId xmlns:a16="http://schemas.microsoft.com/office/drawing/2014/main" id="{00000000-0008-0000-0F00-0000D4020000}"/>
            </a:ext>
          </a:extLst>
        </xdr:cNvPr>
        <xdr:cNvSpPr txBox="1">
          <a:spLocks noChangeArrowheads="1"/>
        </xdr:cNvSpPr>
      </xdr:nvSpPr>
      <xdr:spPr bwMode="auto">
        <a:xfrm>
          <a:off x="5619750" y="6504214"/>
          <a:ext cx="123825" cy="1522640"/>
        </a:xfrm>
        <a:prstGeom prst="rect">
          <a:avLst/>
        </a:prstGeom>
        <a:noFill/>
        <a:ln w="9525">
          <a:noFill/>
          <a:miter lim="800000"/>
          <a:headEnd/>
          <a:tailEnd/>
        </a:ln>
      </xdr:spPr>
    </xdr:sp>
    <xdr:clientData/>
  </xdr:oneCellAnchor>
  <xdr:oneCellAnchor>
    <xdr:from>
      <xdr:col>9</xdr:col>
      <xdr:colOff>0</xdr:colOff>
      <xdr:row>14</xdr:row>
      <xdr:rowOff>0</xdr:rowOff>
    </xdr:from>
    <xdr:ext cx="123825" cy="1522640"/>
    <xdr:sp macro="" textlink="">
      <xdr:nvSpPr>
        <xdr:cNvPr id="725" name="Text Box 234">
          <a:extLst>
            <a:ext uri="{FF2B5EF4-FFF2-40B4-BE49-F238E27FC236}">
              <a16:creationId xmlns:a16="http://schemas.microsoft.com/office/drawing/2014/main" id="{00000000-0008-0000-0F00-0000D5020000}"/>
            </a:ext>
          </a:extLst>
        </xdr:cNvPr>
        <xdr:cNvSpPr txBox="1">
          <a:spLocks noChangeArrowheads="1"/>
        </xdr:cNvSpPr>
      </xdr:nvSpPr>
      <xdr:spPr bwMode="auto">
        <a:xfrm>
          <a:off x="5619750" y="6504214"/>
          <a:ext cx="123825" cy="1522640"/>
        </a:xfrm>
        <a:prstGeom prst="rect">
          <a:avLst/>
        </a:prstGeom>
        <a:noFill/>
        <a:ln w="9525">
          <a:noFill/>
          <a:miter lim="800000"/>
          <a:headEnd/>
          <a:tailEnd/>
        </a:ln>
      </xdr:spPr>
    </xdr:sp>
    <xdr:clientData/>
  </xdr:oneCellAnchor>
  <xdr:oneCellAnchor>
    <xdr:from>
      <xdr:col>8</xdr:col>
      <xdr:colOff>0</xdr:colOff>
      <xdr:row>14</xdr:row>
      <xdr:rowOff>0</xdr:rowOff>
    </xdr:from>
    <xdr:ext cx="123825" cy="1522640"/>
    <xdr:sp macro="" textlink="">
      <xdr:nvSpPr>
        <xdr:cNvPr id="726" name="Text Box 216">
          <a:extLst>
            <a:ext uri="{FF2B5EF4-FFF2-40B4-BE49-F238E27FC236}">
              <a16:creationId xmlns:a16="http://schemas.microsoft.com/office/drawing/2014/main" id="{00000000-0008-0000-0F00-0000D6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8</xdr:col>
      <xdr:colOff>0</xdr:colOff>
      <xdr:row>14</xdr:row>
      <xdr:rowOff>0</xdr:rowOff>
    </xdr:from>
    <xdr:ext cx="123825" cy="1522640"/>
    <xdr:sp macro="" textlink="">
      <xdr:nvSpPr>
        <xdr:cNvPr id="727" name="Text Box 217">
          <a:extLst>
            <a:ext uri="{FF2B5EF4-FFF2-40B4-BE49-F238E27FC236}">
              <a16:creationId xmlns:a16="http://schemas.microsoft.com/office/drawing/2014/main" id="{00000000-0008-0000-0F00-0000D7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8</xdr:col>
      <xdr:colOff>0</xdr:colOff>
      <xdr:row>14</xdr:row>
      <xdr:rowOff>0</xdr:rowOff>
    </xdr:from>
    <xdr:ext cx="123825" cy="1522640"/>
    <xdr:sp macro="" textlink="">
      <xdr:nvSpPr>
        <xdr:cNvPr id="728" name="Text Box 218">
          <a:extLst>
            <a:ext uri="{FF2B5EF4-FFF2-40B4-BE49-F238E27FC236}">
              <a16:creationId xmlns:a16="http://schemas.microsoft.com/office/drawing/2014/main" id="{00000000-0008-0000-0F00-0000D8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8</xdr:col>
      <xdr:colOff>0</xdr:colOff>
      <xdr:row>14</xdr:row>
      <xdr:rowOff>0</xdr:rowOff>
    </xdr:from>
    <xdr:ext cx="123825" cy="1522640"/>
    <xdr:sp macro="" textlink="">
      <xdr:nvSpPr>
        <xdr:cNvPr id="729" name="Text Box 219">
          <a:extLst>
            <a:ext uri="{FF2B5EF4-FFF2-40B4-BE49-F238E27FC236}">
              <a16:creationId xmlns:a16="http://schemas.microsoft.com/office/drawing/2014/main" id="{00000000-0008-0000-0F00-0000D9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8</xdr:col>
      <xdr:colOff>0</xdr:colOff>
      <xdr:row>14</xdr:row>
      <xdr:rowOff>0</xdr:rowOff>
    </xdr:from>
    <xdr:ext cx="123825" cy="1522640"/>
    <xdr:sp macro="" textlink="">
      <xdr:nvSpPr>
        <xdr:cNvPr id="730" name="Text Box 220">
          <a:extLst>
            <a:ext uri="{FF2B5EF4-FFF2-40B4-BE49-F238E27FC236}">
              <a16:creationId xmlns:a16="http://schemas.microsoft.com/office/drawing/2014/main" id="{00000000-0008-0000-0F00-0000DA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8</xdr:col>
      <xdr:colOff>0</xdr:colOff>
      <xdr:row>14</xdr:row>
      <xdr:rowOff>0</xdr:rowOff>
    </xdr:from>
    <xdr:ext cx="123825" cy="1522640"/>
    <xdr:sp macro="" textlink="">
      <xdr:nvSpPr>
        <xdr:cNvPr id="731" name="Text Box 221">
          <a:extLst>
            <a:ext uri="{FF2B5EF4-FFF2-40B4-BE49-F238E27FC236}">
              <a16:creationId xmlns:a16="http://schemas.microsoft.com/office/drawing/2014/main" id="{00000000-0008-0000-0F00-0000DB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8</xdr:col>
      <xdr:colOff>0</xdr:colOff>
      <xdr:row>14</xdr:row>
      <xdr:rowOff>0</xdr:rowOff>
    </xdr:from>
    <xdr:ext cx="123825" cy="1522640"/>
    <xdr:sp macro="" textlink="">
      <xdr:nvSpPr>
        <xdr:cNvPr id="732" name="Text Box 222">
          <a:extLst>
            <a:ext uri="{FF2B5EF4-FFF2-40B4-BE49-F238E27FC236}">
              <a16:creationId xmlns:a16="http://schemas.microsoft.com/office/drawing/2014/main" id="{00000000-0008-0000-0F00-0000DC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8</xdr:col>
      <xdr:colOff>0</xdr:colOff>
      <xdr:row>14</xdr:row>
      <xdr:rowOff>0</xdr:rowOff>
    </xdr:from>
    <xdr:ext cx="123825" cy="1522640"/>
    <xdr:sp macro="" textlink="">
      <xdr:nvSpPr>
        <xdr:cNvPr id="733" name="Text Box 223">
          <a:extLst>
            <a:ext uri="{FF2B5EF4-FFF2-40B4-BE49-F238E27FC236}">
              <a16:creationId xmlns:a16="http://schemas.microsoft.com/office/drawing/2014/main" id="{00000000-0008-0000-0F00-0000DD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8</xdr:col>
      <xdr:colOff>0</xdr:colOff>
      <xdr:row>14</xdr:row>
      <xdr:rowOff>0</xdr:rowOff>
    </xdr:from>
    <xdr:ext cx="114300" cy="2137683"/>
    <xdr:sp macro="" textlink="">
      <xdr:nvSpPr>
        <xdr:cNvPr id="734" name="Text Box 224">
          <a:extLst>
            <a:ext uri="{FF2B5EF4-FFF2-40B4-BE49-F238E27FC236}">
              <a16:creationId xmlns:a16="http://schemas.microsoft.com/office/drawing/2014/main" id="{00000000-0008-0000-0F00-0000DE020000}"/>
            </a:ext>
          </a:extLst>
        </xdr:cNvPr>
        <xdr:cNvSpPr txBox="1">
          <a:spLocks noChangeArrowheads="1"/>
        </xdr:cNvSpPr>
      </xdr:nvSpPr>
      <xdr:spPr bwMode="auto">
        <a:xfrm>
          <a:off x="3102429" y="6504214"/>
          <a:ext cx="114300" cy="2137683"/>
        </a:xfrm>
        <a:prstGeom prst="rect">
          <a:avLst/>
        </a:prstGeom>
        <a:noFill/>
        <a:ln w="9525">
          <a:noFill/>
          <a:miter lim="800000"/>
          <a:headEnd/>
          <a:tailEnd/>
        </a:ln>
      </xdr:spPr>
    </xdr:sp>
    <xdr:clientData/>
  </xdr:oneCellAnchor>
  <xdr:oneCellAnchor>
    <xdr:from>
      <xdr:col>8</xdr:col>
      <xdr:colOff>0</xdr:colOff>
      <xdr:row>14</xdr:row>
      <xdr:rowOff>0</xdr:rowOff>
    </xdr:from>
    <xdr:ext cx="123825" cy="2137683"/>
    <xdr:sp macro="" textlink="">
      <xdr:nvSpPr>
        <xdr:cNvPr id="735" name="Text Box 226">
          <a:extLst>
            <a:ext uri="{FF2B5EF4-FFF2-40B4-BE49-F238E27FC236}">
              <a16:creationId xmlns:a16="http://schemas.microsoft.com/office/drawing/2014/main" id="{00000000-0008-0000-0F00-0000DF020000}"/>
            </a:ext>
          </a:extLst>
        </xdr:cNvPr>
        <xdr:cNvSpPr txBox="1">
          <a:spLocks noChangeArrowheads="1"/>
        </xdr:cNvSpPr>
      </xdr:nvSpPr>
      <xdr:spPr bwMode="auto">
        <a:xfrm>
          <a:off x="3102429" y="6504214"/>
          <a:ext cx="123825" cy="2137683"/>
        </a:xfrm>
        <a:prstGeom prst="rect">
          <a:avLst/>
        </a:prstGeom>
        <a:noFill/>
        <a:ln w="9525">
          <a:noFill/>
          <a:miter lim="800000"/>
          <a:headEnd/>
          <a:tailEnd/>
        </a:ln>
      </xdr:spPr>
    </xdr:sp>
    <xdr:clientData/>
  </xdr:oneCellAnchor>
  <xdr:oneCellAnchor>
    <xdr:from>
      <xdr:col>8</xdr:col>
      <xdr:colOff>0</xdr:colOff>
      <xdr:row>14</xdr:row>
      <xdr:rowOff>0</xdr:rowOff>
    </xdr:from>
    <xdr:ext cx="123825" cy="2137683"/>
    <xdr:sp macro="" textlink="">
      <xdr:nvSpPr>
        <xdr:cNvPr id="736" name="Text Box 227">
          <a:extLst>
            <a:ext uri="{FF2B5EF4-FFF2-40B4-BE49-F238E27FC236}">
              <a16:creationId xmlns:a16="http://schemas.microsoft.com/office/drawing/2014/main" id="{00000000-0008-0000-0F00-0000E0020000}"/>
            </a:ext>
          </a:extLst>
        </xdr:cNvPr>
        <xdr:cNvSpPr txBox="1">
          <a:spLocks noChangeArrowheads="1"/>
        </xdr:cNvSpPr>
      </xdr:nvSpPr>
      <xdr:spPr bwMode="auto">
        <a:xfrm>
          <a:off x="3102429" y="6504214"/>
          <a:ext cx="123825" cy="2137683"/>
        </a:xfrm>
        <a:prstGeom prst="rect">
          <a:avLst/>
        </a:prstGeom>
        <a:noFill/>
        <a:ln w="9525">
          <a:noFill/>
          <a:miter lim="800000"/>
          <a:headEnd/>
          <a:tailEnd/>
        </a:ln>
      </xdr:spPr>
    </xdr:sp>
    <xdr:clientData/>
  </xdr:oneCellAnchor>
  <xdr:oneCellAnchor>
    <xdr:from>
      <xdr:col>8</xdr:col>
      <xdr:colOff>0</xdr:colOff>
      <xdr:row>14</xdr:row>
      <xdr:rowOff>0</xdr:rowOff>
    </xdr:from>
    <xdr:ext cx="123825" cy="2137683"/>
    <xdr:sp macro="" textlink="">
      <xdr:nvSpPr>
        <xdr:cNvPr id="737" name="Text Box 228">
          <a:extLst>
            <a:ext uri="{FF2B5EF4-FFF2-40B4-BE49-F238E27FC236}">
              <a16:creationId xmlns:a16="http://schemas.microsoft.com/office/drawing/2014/main" id="{00000000-0008-0000-0F00-0000E1020000}"/>
            </a:ext>
          </a:extLst>
        </xdr:cNvPr>
        <xdr:cNvSpPr txBox="1">
          <a:spLocks noChangeArrowheads="1"/>
        </xdr:cNvSpPr>
      </xdr:nvSpPr>
      <xdr:spPr bwMode="auto">
        <a:xfrm>
          <a:off x="3102429" y="6504214"/>
          <a:ext cx="123825" cy="2137683"/>
        </a:xfrm>
        <a:prstGeom prst="rect">
          <a:avLst/>
        </a:prstGeom>
        <a:noFill/>
        <a:ln w="9525">
          <a:noFill/>
          <a:miter lim="800000"/>
          <a:headEnd/>
          <a:tailEnd/>
        </a:ln>
      </xdr:spPr>
    </xdr:sp>
    <xdr:clientData/>
  </xdr:oneCellAnchor>
  <xdr:oneCellAnchor>
    <xdr:from>
      <xdr:col>8</xdr:col>
      <xdr:colOff>0</xdr:colOff>
      <xdr:row>14</xdr:row>
      <xdr:rowOff>0</xdr:rowOff>
    </xdr:from>
    <xdr:ext cx="123825" cy="2137683"/>
    <xdr:sp macro="" textlink="">
      <xdr:nvSpPr>
        <xdr:cNvPr id="738" name="Text Box 229">
          <a:extLst>
            <a:ext uri="{FF2B5EF4-FFF2-40B4-BE49-F238E27FC236}">
              <a16:creationId xmlns:a16="http://schemas.microsoft.com/office/drawing/2014/main" id="{00000000-0008-0000-0F00-0000E2020000}"/>
            </a:ext>
          </a:extLst>
        </xdr:cNvPr>
        <xdr:cNvSpPr txBox="1">
          <a:spLocks noChangeArrowheads="1"/>
        </xdr:cNvSpPr>
      </xdr:nvSpPr>
      <xdr:spPr bwMode="auto">
        <a:xfrm>
          <a:off x="3102429" y="6504214"/>
          <a:ext cx="123825" cy="2137683"/>
        </a:xfrm>
        <a:prstGeom prst="rect">
          <a:avLst/>
        </a:prstGeom>
        <a:noFill/>
        <a:ln w="9525">
          <a:noFill/>
          <a:miter lim="800000"/>
          <a:headEnd/>
          <a:tailEnd/>
        </a:ln>
      </xdr:spPr>
    </xdr:sp>
    <xdr:clientData/>
  </xdr:oneCellAnchor>
  <xdr:oneCellAnchor>
    <xdr:from>
      <xdr:col>8</xdr:col>
      <xdr:colOff>0</xdr:colOff>
      <xdr:row>14</xdr:row>
      <xdr:rowOff>0</xdr:rowOff>
    </xdr:from>
    <xdr:ext cx="123825" cy="1522640"/>
    <xdr:sp macro="" textlink="">
      <xdr:nvSpPr>
        <xdr:cNvPr id="739" name="Text Box 230">
          <a:extLst>
            <a:ext uri="{FF2B5EF4-FFF2-40B4-BE49-F238E27FC236}">
              <a16:creationId xmlns:a16="http://schemas.microsoft.com/office/drawing/2014/main" id="{00000000-0008-0000-0F00-0000E3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8</xdr:col>
      <xdr:colOff>0</xdr:colOff>
      <xdr:row>14</xdr:row>
      <xdr:rowOff>0</xdr:rowOff>
    </xdr:from>
    <xdr:ext cx="123825" cy="1522640"/>
    <xdr:sp macro="" textlink="">
      <xdr:nvSpPr>
        <xdr:cNvPr id="740" name="Text Box 231">
          <a:extLst>
            <a:ext uri="{FF2B5EF4-FFF2-40B4-BE49-F238E27FC236}">
              <a16:creationId xmlns:a16="http://schemas.microsoft.com/office/drawing/2014/main" id="{00000000-0008-0000-0F00-0000E4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8</xdr:col>
      <xdr:colOff>0</xdr:colOff>
      <xdr:row>14</xdr:row>
      <xdr:rowOff>0</xdr:rowOff>
    </xdr:from>
    <xdr:ext cx="123825" cy="1522640"/>
    <xdr:sp macro="" textlink="">
      <xdr:nvSpPr>
        <xdr:cNvPr id="741" name="Text Box 232">
          <a:extLst>
            <a:ext uri="{FF2B5EF4-FFF2-40B4-BE49-F238E27FC236}">
              <a16:creationId xmlns:a16="http://schemas.microsoft.com/office/drawing/2014/main" id="{00000000-0008-0000-0F00-0000E5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8</xdr:col>
      <xdr:colOff>0</xdr:colOff>
      <xdr:row>14</xdr:row>
      <xdr:rowOff>0</xdr:rowOff>
    </xdr:from>
    <xdr:ext cx="123825" cy="1522640"/>
    <xdr:sp macro="" textlink="">
      <xdr:nvSpPr>
        <xdr:cNvPr id="742" name="Text Box 233">
          <a:extLst>
            <a:ext uri="{FF2B5EF4-FFF2-40B4-BE49-F238E27FC236}">
              <a16:creationId xmlns:a16="http://schemas.microsoft.com/office/drawing/2014/main" id="{00000000-0008-0000-0F00-0000E6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8</xdr:col>
      <xdr:colOff>0</xdr:colOff>
      <xdr:row>14</xdr:row>
      <xdr:rowOff>0</xdr:rowOff>
    </xdr:from>
    <xdr:ext cx="123825" cy="1522640"/>
    <xdr:sp macro="" textlink="">
      <xdr:nvSpPr>
        <xdr:cNvPr id="743" name="Text Box 234">
          <a:extLst>
            <a:ext uri="{FF2B5EF4-FFF2-40B4-BE49-F238E27FC236}">
              <a16:creationId xmlns:a16="http://schemas.microsoft.com/office/drawing/2014/main" id="{00000000-0008-0000-0F00-0000E7020000}"/>
            </a:ext>
          </a:extLst>
        </xdr:cNvPr>
        <xdr:cNvSpPr txBox="1">
          <a:spLocks noChangeArrowheads="1"/>
        </xdr:cNvSpPr>
      </xdr:nvSpPr>
      <xdr:spPr bwMode="auto">
        <a:xfrm>
          <a:off x="3102429" y="6504214"/>
          <a:ext cx="123825" cy="1522640"/>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744" name="Text Box 197">
          <a:extLst>
            <a:ext uri="{FF2B5EF4-FFF2-40B4-BE49-F238E27FC236}">
              <a16:creationId xmlns:a16="http://schemas.microsoft.com/office/drawing/2014/main" id="{00000000-0008-0000-0F00-0000E802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745" name="Text Box 198">
          <a:extLst>
            <a:ext uri="{FF2B5EF4-FFF2-40B4-BE49-F238E27FC236}">
              <a16:creationId xmlns:a16="http://schemas.microsoft.com/office/drawing/2014/main" id="{00000000-0008-0000-0F00-0000E902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746" name="Text Box 199">
          <a:extLst>
            <a:ext uri="{FF2B5EF4-FFF2-40B4-BE49-F238E27FC236}">
              <a16:creationId xmlns:a16="http://schemas.microsoft.com/office/drawing/2014/main" id="{00000000-0008-0000-0F00-0000EA02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747" name="Text Box 200">
          <a:extLst>
            <a:ext uri="{FF2B5EF4-FFF2-40B4-BE49-F238E27FC236}">
              <a16:creationId xmlns:a16="http://schemas.microsoft.com/office/drawing/2014/main" id="{00000000-0008-0000-0F00-0000EB02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748" name="Text Box 201">
          <a:extLst>
            <a:ext uri="{FF2B5EF4-FFF2-40B4-BE49-F238E27FC236}">
              <a16:creationId xmlns:a16="http://schemas.microsoft.com/office/drawing/2014/main" id="{00000000-0008-0000-0F00-0000EC02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749" name="Text Box 202">
          <a:extLst>
            <a:ext uri="{FF2B5EF4-FFF2-40B4-BE49-F238E27FC236}">
              <a16:creationId xmlns:a16="http://schemas.microsoft.com/office/drawing/2014/main" id="{00000000-0008-0000-0F00-0000ED02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750" name="Text Box 203">
          <a:extLst>
            <a:ext uri="{FF2B5EF4-FFF2-40B4-BE49-F238E27FC236}">
              <a16:creationId xmlns:a16="http://schemas.microsoft.com/office/drawing/2014/main" id="{00000000-0008-0000-0F00-0000EE02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751" name="Text Box 204">
          <a:extLst>
            <a:ext uri="{FF2B5EF4-FFF2-40B4-BE49-F238E27FC236}">
              <a16:creationId xmlns:a16="http://schemas.microsoft.com/office/drawing/2014/main" id="{00000000-0008-0000-0F00-0000EF02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14300" cy="945696"/>
    <xdr:sp macro="" textlink="">
      <xdr:nvSpPr>
        <xdr:cNvPr id="752" name="Text Box 205">
          <a:extLst>
            <a:ext uri="{FF2B5EF4-FFF2-40B4-BE49-F238E27FC236}">
              <a16:creationId xmlns:a16="http://schemas.microsoft.com/office/drawing/2014/main" id="{00000000-0008-0000-0F00-0000F0020000}"/>
            </a:ext>
          </a:extLst>
        </xdr:cNvPr>
        <xdr:cNvSpPr txBox="1">
          <a:spLocks noChangeArrowheads="1"/>
        </xdr:cNvSpPr>
      </xdr:nvSpPr>
      <xdr:spPr bwMode="auto">
        <a:xfrm>
          <a:off x="3102429" y="5823857"/>
          <a:ext cx="114300" cy="945696"/>
        </a:xfrm>
        <a:prstGeom prst="rect">
          <a:avLst/>
        </a:prstGeom>
        <a:noFill/>
        <a:ln w="9525">
          <a:noFill/>
          <a:miter lim="800000"/>
          <a:headEnd/>
          <a:tailEnd/>
        </a:ln>
      </xdr:spPr>
    </xdr:sp>
    <xdr:clientData/>
  </xdr:oneCellAnchor>
  <xdr:oneCellAnchor>
    <xdr:from>
      <xdr:col>7</xdr:col>
      <xdr:colOff>0</xdr:colOff>
      <xdr:row>13</xdr:row>
      <xdr:rowOff>0</xdr:rowOff>
    </xdr:from>
    <xdr:ext cx="114300" cy="945696"/>
    <xdr:sp macro="" textlink="">
      <xdr:nvSpPr>
        <xdr:cNvPr id="753" name="Text Box 206">
          <a:extLst>
            <a:ext uri="{FF2B5EF4-FFF2-40B4-BE49-F238E27FC236}">
              <a16:creationId xmlns:a16="http://schemas.microsoft.com/office/drawing/2014/main" id="{00000000-0008-0000-0F00-0000F1020000}"/>
            </a:ext>
          </a:extLst>
        </xdr:cNvPr>
        <xdr:cNvSpPr txBox="1">
          <a:spLocks noChangeArrowheads="1"/>
        </xdr:cNvSpPr>
      </xdr:nvSpPr>
      <xdr:spPr bwMode="auto">
        <a:xfrm>
          <a:off x="3102429" y="5823857"/>
          <a:ext cx="114300" cy="945696"/>
        </a:xfrm>
        <a:prstGeom prst="rect">
          <a:avLst/>
        </a:prstGeom>
        <a:noFill/>
        <a:ln w="9525">
          <a:noFill/>
          <a:miter lim="800000"/>
          <a:headEnd/>
          <a:tailEnd/>
        </a:ln>
      </xdr:spPr>
    </xdr:sp>
    <xdr:clientData/>
  </xdr:oneCellAnchor>
  <xdr:oneCellAnchor>
    <xdr:from>
      <xdr:col>7</xdr:col>
      <xdr:colOff>0</xdr:colOff>
      <xdr:row>13</xdr:row>
      <xdr:rowOff>0</xdr:rowOff>
    </xdr:from>
    <xdr:ext cx="123825" cy="945696"/>
    <xdr:sp macro="" textlink="">
      <xdr:nvSpPr>
        <xdr:cNvPr id="754" name="Text Box 207">
          <a:extLst>
            <a:ext uri="{FF2B5EF4-FFF2-40B4-BE49-F238E27FC236}">
              <a16:creationId xmlns:a16="http://schemas.microsoft.com/office/drawing/2014/main" id="{00000000-0008-0000-0F00-0000F2020000}"/>
            </a:ext>
          </a:extLst>
        </xdr:cNvPr>
        <xdr:cNvSpPr txBox="1">
          <a:spLocks noChangeArrowheads="1"/>
        </xdr:cNvSpPr>
      </xdr:nvSpPr>
      <xdr:spPr bwMode="auto">
        <a:xfrm>
          <a:off x="3102429" y="5823857"/>
          <a:ext cx="123825" cy="945696"/>
        </a:xfrm>
        <a:prstGeom prst="rect">
          <a:avLst/>
        </a:prstGeom>
        <a:noFill/>
        <a:ln w="9525">
          <a:noFill/>
          <a:miter lim="800000"/>
          <a:headEnd/>
          <a:tailEnd/>
        </a:ln>
      </xdr:spPr>
    </xdr:sp>
    <xdr:clientData/>
  </xdr:oneCellAnchor>
  <xdr:oneCellAnchor>
    <xdr:from>
      <xdr:col>7</xdr:col>
      <xdr:colOff>0</xdr:colOff>
      <xdr:row>13</xdr:row>
      <xdr:rowOff>0</xdr:rowOff>
    </xdr:from>
    <xdr:ext cx="123825" cy="945696"/>
    <xdr:sp macro="" textlink="">
      <xdr:nvSpPr>
        <xdr:cNvPr id="755" name="Text Box 208">
          <a:extLst>
            <a:ext uri="{FF2B5EF4-FFF2-40B4-BE49-F238E27FC236}">
              <a16:creationId xmlns:a16="http://schemas.microsoft.com/office/drawing/2014/main" id="{00000000-0008-0000-0F00-0000F3020000}"/>
            </a:ext>
          </a:extLst>
        </xdr:cNvPr>
        <xdr:cNvSpPr txBox="1">
          <a:spLocks noChangeArrowheads="1"/>
        </xdr:cNvSpPr>
      </xdr:nvSpPr>
      <xdr:spPr bwMode="auto">
        <a:xfrm>
          <a:off x="3102429" y="5823857"/>
          <a:ext cx="123825" cy="945696"/>
        </a:xfrm>
        <a:prstGeom prst="rect">
          <a:avLst/>
        </a:prstGeom>
        <a:noFill/>
        <a:ln w="9525">
          <a:noFill/>
          <a:miter lim="800000"/>
          <a:headEnd/>
          <a:tailEnd/>
        </a:ln>
      </xdr:spPr>
    </xdr:sp>
    <xdr:clientData/>
  </xdr:oneCellAnchor>
  <xdr:oneCellAnchor>
    <xdr:from>
      <xdr:col>7</xdr:col>
      <xdr:colOff>0</xdr:colOff>
      <xdr:row>13</xdr:row>
      <xdr:rowOff>0</xdr:rowOff>
    </xdr:from>
    <xdr:ext cx="123825" cy="945696"/>
    <xdr:sp macro="" textlink="">
      <xdr:nvSpPr>
        <xdr:cNvPr id="756" name="Text Box 209">
          <a:extLst>
            <a:ext uri="{FF2B5EF4-FFF2-40B4-BE49-F238E27FC236}">
              <a16:creationId xmlns:a16="http://schemas.microsoft.com/office/drawing/2014/main" id="{00000000-0008-0000-0F00-0000F4020000}"/>
            </a:ext>
          </a:extLst>
        </xdr:cNvPr>
        <xdr:cNvSpPr txBox="1">
          <a:spLocks noChangeArrowheads="1"/>
        </xdr:cNvSpPr>
      </xdr:nvSpPr>
      <xdr:spPr bwMode="auto">
        <a:xfrm>
          <a:off x="3102429" y="5823857"/>
          <a:ext cx="123825" cy="945696"/>
        </a:xfrm>
        <a:prstGeom prst="rect">
          <a:avLst/>
        </a:prstGeom>
        <a:noFill/>
        <a:ln w="9525">
          <a:noFill/>
          <a:miter lim="800000"/>
          <a:headEnd/>
          <a:tailEnd/>
        </a:ln>
      </xdr:spPr>
    </xdr:sp>
    <xdr:clientData/>
  </xdr:oneCellAnchor>
  <xdr:oneCellAnchor>
    <xdr:from>
      <xdr:col>7</xdr:col>
      <xdr:colOff>0</xdr:colOff>
      <xdr:row>13</xdr:row>
      <xdr:rowOff>0</xdr:rowOff>
    </xdr:from>
    <xdr:ext cx="123825" cy="945696"/>
    <xdr:sp macro="" textlink="">
      <xdr:nvSpPr>
        <xdr:cNvPr id="757" name="Text Box 210">
          <a:extLst>
            <a:ext uri="{FF2B5EF4-FFF2-40B4-BE49-F238E27FC236}">
              <a16:creationId xmlns:a16="http://schemas.microsoft.com/office/drawing/2014/main" id="{00000000-0008-0000-0F00-0000F5020000}"/>
            </a:ext>
          </a:extLst>
        </xdr:cNvPr>
        <xdr:cNvSpPr txBox="1">
          <a:spLocks noChangeArrowheads="1"/>
        </xdr:cNvSpPr>
      </xdr:nvSpPr>
      <xdr:spPr bwMode="auto">
        <a:xfrm>
          <a:off x="3102429" y="5823857"/>
          <a:ext cx="123825" cy="9456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758" name="Text Box 211">
          <a:extLst>
            <a:ext uri="{FF2B5EF4-FFF2-40B4-BE49-F238E27FC236}">
              <a16:creationId xmlns:a16="http://schemas.microsoft.com/office/drawing/2014/main" id="{00000000-0008-0000-0F00-0000F602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759" name="Text Box 212">
          <a:extLst>
            <a:ext uri="{FF2B5EF4-FFF2-40B4-BE49-F238E27FC236}">
              <a16:creationId xmlns:a16="http://schemas.microsoft.com/office/drawing/2014/main" id="{00000000-0008-0000-0F00-0000F702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760" name="Text Box 213">
          <a:extLst>
            <a:ext uri="{FF2B5EF4-FFF2-40B4-BE49-F238E27FC236}">
              <a16:creationId xmlns:a16="http://schemas.microsoft.com/office/drawing/2014/main" id="{00000000-0008-0000-0F00-0000F802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761" name="Text Box 214">
          <a:extLst>
            <a:ext uri="{FF2B5EF4-FFF2-40B4-BE49-F238E27FC236}">
              <a16:creationId xmlns:a16="http://schemas.microsoft.com/office/drawing/2014/main" id="{00000000-0008-0000-0F00-0000F902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762" name="Text Box 197">
          <a:extLst>
            <a:ext uri="{FF2B5EF4-FFF2-40B4-BE49-F238E27FC236}">
              <a16:creationId xmlns:a16="http://schemas.microsoft.com/office/drawing/2014/main" id="{00000000-0008-0000-0F00-0000FA02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763" name="Text Box 198">
          <a:extLst>
            <a:ext uri="{FF2B5EF4-FFF2-40B4-BE49-F238E27FC236}">
              <a16:creationId xmlns:a16="http://schemas.microsoft.com/office/drawing/2014/main" id="{00000000-0008-0000-0F00-0000FB02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764" name="Text Box 199">
          <a:extLst>
            <a:ext uri="{FF2B5EF4-FFF2-40B4-BE49-F238E27FC236}">
              <a16:creationId xmlns:a16="http://schemas.microsoft.com/office/drawing/2014/main" id="{00000000-0008-0000-0F00-0000FC02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765" name="Text Box 200">
          <a:extLst>
            <a:ext uri="{FF2B5EF4-FFF2-40B4-BE49-F238E27FC236}">
              <a16:creationId xmlns:a16="http://schemas.microsoft.com/office/drawing/2014/main" id="{00000000-0008-0000-0F00-0000FD02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766" name="Text Box 201">
          <a:extLst>
            <a:ext uri="{FF2B5EF4-FFF2-40B4-BE49-F238E27FC236}">
              <a16:creationId xmlns:a16="http://schemas.microsoft.com/office/drawing/2014/main" id="{00000000-0008-0000-0F00-0000FE02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767" name="Text Box 202">
          <a:extLst>
            <a:ext uri="{FF2B5EF4-FFF2-40B4-BE49-F238E27FC236}">
              <a16:creationId xmlns:a16="http://schemas.microsoft.com/office/drawing/2014/main" id="{00000000-0008-0000-0F00-0000FF02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768" name="Text Box 203">
          <a:extLst>
            <a:ext uri="{FF2B5EF4-FFF2-40B4-BE49-F238E27FC236}">
              <a16:creationId xmlns:a16="http://schemas.microsoft.com/office/drawing/2014/main" id="{00000000-0008-0000-0F00-000000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769" name="Text Box 204">
          <a:extLst>
            <a:ext uri="{FF2B5EF4-FFF2-40B4-BE49-F238E27FC236}">
              <a16:creationId xmlns:a16="http://schemas.microsoft.com/office/drawing/2014/main" id="{00000000-0008-0000-0F00-000001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14300" cy="945696"/>
    <xdr:sp macro="" textlink="">
      <xdr:nvSpPr>
        <xdr:cNvPr id="770" name="Text Box 205">
          <a:extLst>
            <a:ext uri="{FF2B5EF4-FFF2-40B4-BE49-F238E27FC236}">
              <a16:creationId xmlns:a16="http://schemas.microsoft.com/office/drawing/2014/main" id="{00000000-0008-0000-0F00-000002030000}"/>
            </a:ext>
          </a:extLst>
        </xdr:cNvPr>
        <xdr:cNvSpPr txBox="1">
          <a:spLocks noChangeArrowheads="1"/>
        </xdr:cNvSpPr>
      </xdr:nvSpPr>
      <xdr:spPr bwMode="auto">
        <a:xfrm>
          <a:off x="5619750" y="5823857"/>
          <a:ext cx="114300" cy="945696"/>
        </a:xfrm>
        <a:prstGeom prst="rect">
          <a:avLst/>
        </a:prstGeom>
        <a:noFill/>
        <a:ln w="9525">
          <a:noFill/>
          <a:miter lim="800000"/>
          <a:headEnd/>
          <a:tailEnd/>
        </a:ln>
      </xdr:spPr>
    </xdr:sp>
    <xdr:clientData/>
  </xdr:oneCellAnchor>
  <xdr:oneCellAnchor>
    <xdr:from>
      <xdr:col>9</xdr:col>
      <xdr:colOff>0</xdr:colOff>
      <xdr:row>13</xdr:row>
      <xdr:rowOff>0</xdr:rowOff>
    </xdr:from>
    <xdr:ext cx="114300" cy="945696"/>
    <xdr:sp macro="" textlink="">
      <xdr:nvSpPr>
        <xdr:cNvPr id="771" name="Text Box 206">
          <a:extLst>
            <a:ext uri="{FF2B5EF4-FFF2-40B4-BE49-F238E27FC236}">
              <a16:creationId xmlns:a16="http://schemas.microsoft.com/office/drawing/2014/main" id="{00000000-0008-0000-0F00-000003030000}"/>
            </a:ext>
          </a:extLst>
        </xdr:cNvPr>
        <xdr:cNvSpPr txBox="1">
          <a:spLocks noChangeArrowheads="1"/>
        </xdr:cNvSpPr>
      </xdr:nvSpPr>
      <xdr:spPr bwMode="auto">
        <a:xfrm>
          <a:off x="5619750" y="5823857"/>
          <a:ext cx="114300" cy="945696"/>
        </a:xfrm>
        <a:prstGeom prst="rect">
          <a:avLst/>
        </a:prstGeom>
        <a:noFill/>
        <a:ln w="9525">
          <a:noFill/>
          <a:miter lim="800000"/>
          <a:headEnd/>
          <a:tailEnd/>
        </a:ln>
      </xdr:spPr>
    </xdr:sp>
    <xdr:clientData/>
  </xdr:oneCellAnchor>
  <xdr:oneCellAnchor>
    <xdr:from>
      <xdr:col>9</xdr:col>
      <xdr:colOff>0</xdr:colOff>
      <xdr:row>13</xdr:row>
      <xdr:rowOff>0</xdr:rowOff>
    </xdr:from>
    <xdr:ext cx="123825" cy="945696"/>
    <xdr:sp macro="" textlink="">
      <xdr:nvSpPr>
        <xdr:cNvPr id="772" name="Text Box 207">
          <a:extLst>
            <a:ext uri="{FF2B5EF4-FFF2-40B4-BE49-F238E27FC236}">
              <a16:creationId xmlns:a16="http://schemas.microsoft.com/office/drawing/2014/main" id="{00000000-0008-0000-0F00-000004030000}"/>
            </a:ext>
          </a:extLst>
        </xdr:cNvPr>
        <xdr:cNvSpPr txBox="1">
          <a:spLocks noChangeArrowheads="1"/>
        </xdr:cNvSpPr>
      </xdr:nvSpPr>
      <xdr:spPr bwMode="auto">
        <a:xfrm>
          <a:off x="5619750" y="5823857"/>
          <a:ext cx="123825" cy="945696"/>
        </a:xfrm>
        <a:prstGeom prst="rect">
          <a:avLst/>
        </a:prstGeom>
        <a:noFill/>
        <a:ln w="9525">
          <a:noFill/>
          <a:miter lim="800000"/>
          <a:headEnd/>
          <a:tailEnd/>
        </a:ln>
      </xdr:spPr>
    </xdr:sp>
    <xdr:clientData/>
  </xdr:oneCellAnchor>
  <xdr:oneCellAnchor>
    <xdr:from>
      <xdr:col>9</xdr:col>
      <xdr:colOff>0</xdr:colOff>
      <xdr:row>13</xdr:row>
      <xdr:rowOff>0</xdr:rowOff>
    </xdr:from>
    <xdr:ext cx="123825" cy="945696"/>
    <xdr:sp macro="" textlink="">
      <xdr:nvSpPr>
        <xdr:cNvPr id="773" name="Text Box 208">
          <a:extLst>
            <a:ext uri="{FF2B5EF4-FFF2-40B4-BE49-F238E27FC236}">
              <a16:creationId xmlns:a16="http://schemas.microsoft.com/office/drawing/2014/main" id="{00000000-0008-0000-0F00-000005030000}"/>
            </a:ext>
          </a:extLst>
        </xdr:cNvPr>
        <xdr:cNvSpPr txBox="1">
          <a:spLocks noChangeArrowheads="1"/>
        </xdr:cNvSpPr>
      </xdr:nvSpPr>
      <xdr:spPr bwMode="auto">
        <a:xfrm>
          <a:off x="5619750" y="5823857"/>
          <a:ext cx="123825" cy="945696"/>
        </a:xfrm>
        <a:prstGeom prst="rect">
          <a:avLst/>
        </a:prstGeom>
        <a:noFill/>
        <a:ln w="9525">
          <a:noFill/>
          <a:miter lim="800000"/>
          <a:headEnd/>
          <a:tailEnd/>
        </a:ln>
      </xdr:spPr>
    </xdr:sp>
    <xdr:clientData/>
  </xdr:oneCellAnchor>
  <xdr:oneCellAnchor>
    <xdr:from>
      <xdr:col>9</xdr:col>
      <xdr:colOff>0</xdr:colOff>
      <xdr:row>13</xdr:row>
      <xdr:rowOff>0</xdr:rowOff>
    </xdr:from>
    <xdr:ext cx="123825" cy="945696"/>
    <xdr:sp macro="" textlink="">
      <xdr:nvSpPr>
        <xdr:cNvPr id="774" name="Text Box 209">
          <a:extLst>
            <a:ext uri="{FF2B5EF4-FFF2-40B4-BE49-F238E27FC236}">
              <a16:creationId xmlns:a16="http://schemas.microsoft.com/office/drawing/2014/main" id="{00000000-0008-0000-0F00-000006030000}"/>
            </a:ext>
          </a:extLst>
        </xdr:cNvPr>
        <xdr:cNvSpPr txBox="1">
          <a:spLocks noChangeArrowheads="1"/>
        </xdr:cNvSpPr>
      </xdr:nvSpPr>
      <xdr:spPr bwMode="auto">
        <a:xfrm>
          <a:off x="5619750" y="5823857"/>
          <a:ext cx="123825" cy="945696"/>
        </a:xfrm>
        <a:prstGeom prst="rect">
          <a:avLst/>
        </a:prstGeom>
        <a:noFill/>
        <a:ln w="9525">
          <a:noFill/>
          <a:miter lim="800000"/>
          <a:headEnd/>
          <a:tailEnd/>
        </a:ln>
      </xdr:spPr>
    </xdr:sp>
    <xdr:clientData/>
  </xdr:oneCellAnchor>
  <xdr:oneCellAnchor>
    <xdr:from>
      <xdr:col>9</xdr:col>
      <xdr:colOff>0</xdr:colOff>
      <xdr:row>13</xdr:row>
      <xdr:rowOff>0</xdr:rowOff>
    </xdr:from>
    <xdr:ext cx="123825" cy="945696"/>
    <xdr:sp macro="" textlink="">
      <xdr:nvSpPr>
        <xdr:cNvPr id="775" name="Text Box 210">
          <a:extLst>
            <a:ext uri="{FF2B5EF4-FFF2-40B4-BE49-F238E27FC236}">
              <a16:creationId xmlns:a16="http://schemas.microsoft.com/office/drawing/2014/main" id="{00000000-0008-0000-0F00-000007030000}"/>
            </a:ext>
          </a:extLst>
        </xdr:cNvPr>
        <xdr:cNvSpPr txBox="1">
          <a:spLocks noChangeArrowheads="1"/>
        </xdr:cNvSpPr>
      </xdr:nvSpPr>
      <xdr:spPr bwMode="auto">
        <a:xfrm>
          <a:off x="5619750" y="5823857"/>
          <a:ext cx="123825" cy="9456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776" name="Text Box 211">
          <a:extLst>
            <a:ext uri="{FF2B5EF4-FFF2-40B4-BE49-F238E27FC236}">
              <a16:creationId xmlns:a16="http://schemas.microsoft.com/office/drawing/2014/main" id="{00000000-0008-0000-0F00-000008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777" name="Text Box 212">
          <a:extLst>
            <a:ext uri="{FF2B5EF4-FFF2-40B4-BE49-F238E27FC236}">
              <a16:creationId xmlns:a16="http://schemas.microsoft.com/office/drawing/2014/main" id="{00000000-0008-0000-0F00-000009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778" name="Text Box 213">
          <a:extLst>
            <a:ext uri="{FF2B5EF4-FFF2-40B4-BE49-F238E27FC236}">
              <a16:creationId xmlns:a16="http://schemas.microsoft.com/office/drawing/2014/main" id="{00000000-0008-0000-0F00-00000A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779" name="Text Box 214">
          <a:extLst>
            <a:ext uri="{FF2B5EF4-FFF2-40B4-BE49-F238E27FC236}">
              <a16:creationId xmlns:a16="http://schemas.microsoft.com/office/drawing/2014/main" id="{00000000-0008-0000-0F00-00000B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40946"/>
    <xdr:sp macro="" textlink="">
      <xdr:nvSpPr>
        <xdr:cNvPr id="780" name="Text Box 134">
          <a:extLst>
            <a:ext uri="{FF2B5EF4-FFF2-40B4-BE49-F238E27FC236}">
              <a16:creationId xmlns:a16="http://schemas.microsoft.com/office/drawing/2014/main" id="{00000000-0008-0000-0F00-00000C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40946"/>
    <xdr:sp macro="" textlink="">
      <xdr:nvSpPr>
        <xdr:cNvPr id="781" name="Text Box 135">
          <a:extLst>
            <a:ext uri="{FF2B5EF4-FFF2-40B4-BE49-F238E27FC236}">
              <a16:creationId xmlns:a16="http://schemas.microsoft.com/office/drawing/2014/main" id="{00000000-0008-0000-0F00-00000D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40946"/>
    <xdr:sp macro="" textlink="">
      <xdr:nvSpPr>
        <xdr:cNvPr id="782" name="Text Box 142">
          <a:extLst>
            <a:ext uri="{FF2B5EF4-FFF2-40B4-BE49-F238E27FC236}">
              <a16:creationId xmlns:a16="http://schemas.microsoft.com/office/drawing/2014/main" id="{00000000-0008-0000-0F00-00000E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40946"/>
    <xdr:sp macro="" textlink="">
      <xdr:nvSpPr>
        <xdr:cNvPr id="783" name="Text Box 143">
          <a:extLst>
            <a:ext uri="{FF2B5EF4-FFF2-40B4-BE49-F238E27FC236}">
              <a16:creationId xmlns:a16="http://schemas.microsoft.com/office/drawing/2014/main" id="{00000000-0008-0000-0F00-00000F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40946"/>
    <xdr:sp macro="" textlink="">
      <xdr:nvSpPr>
        <xdr:cNvPr id="784" name="Text Box 144">
          <a:extLst>
            <a:ext uri="{FF2B5EF4-FFF2-40B4-BE49-F238E27FC236}">
              <a16:creationId xmlns:a16="http://schemas.microsoft.com/office/drawing/2014/main" id="{00000000-0008-0000-0F00-000010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40946"/>
    <xdr:sp macro="" textlink="">
      <xdr:nvSpPr>
        <xdr:cNvPr id="785" name="Text Box 145">
          <a:extLst>
            <a:ext uri="{FF2B5EF4-FFF2-40B4-BE49-F238E27FC236}">
              <a16:creationId xmlns:a16="http://schemas.microsoft.com/office/drawing/2014/main" id="{00000000-0008-0000-0F00-000011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40946"/>
    <xdr:sp macro="" textlink="">
      <xdr:nvSpPr>
        <xdr:cNvPr id="786" name="Text Box 146">
          <a:extLst>
            <a:ext uri="{FF2B5EF4-FFF2-40B4-BE49-F238E27FC236}">
              <a16:creationId xmlns:a16="http://schemas.microsoft.com/office/drawing/2014/main" id="{00000000-0008-0000-0F00-000012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40946"/>
    <xdr:sp macro="" textlink="">
      <xdr:nvSpPr>
        <xdr:cNvPr id="787" name="Text Box 147">
          <a:extLst>
            <a:ext uri="{FF2B5EF4-FFF2-40B4-BE49-F238E27FC236}">
              <a16:creationId xmlns:a16="http://schemas.microsoft.com/office/drawing/2014/main" id="{00000000-0008-0000-0F00-000013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4</xdr:col>
      <xdr:colOff>1685925</xdr:colOff>
      <xdr:row>11</xdr:row>
      <xdr:rowOff>0</xdr:rowOff>
    </xdr:from>
    <xdr:ext cx="114300" cy="1129393"/>
    <xdr:sp macro="" textlink="">
      <xdr:nvSpPr>
        <xdr:cNvPr id="788" name="Text Box 136">
          <a:extLst>
            <a:ext uri="{FF2B5EF4-FFF2-40B4-BE49-F238E27FC236}">
              <a16:creationId xmlns:a16="http://schemas.microsoft.com/office/drawing/2014/main" id="{00000000-0008-0000-0F00-000014030000}"/>
            </a:ext>
          </a:extLst>
        </xdr:cNvPr>
        <xdr:cNvSpPr txBox="1">
          <a:spLocks noChangeArrowheads="1"/>
        </xdr:cNvSpPr>
      </xdr:nvSpPr>
      <xdr:spPr bwMode="auto">
        <a:xfrm>
          <a:off x="3102429" y="4966607"/>
          <a:ext cx="114300" cy="1129393"/>
        </a:xfrm>
        <a:prstGeom prst="rect">
          <a:avLst/>
        </a:prstGeom>
        <a:noFill/>
        <a:ln w="9525">
          <a:noFill/>
          <a:miter lim="800000"/>
          <a:headEnd/>
          <a:tailEnd/>
        </a:ln>
      </xdr:spPr>
    </xdr:sp>
    <xdr:clientData/>
  </xdr:oneCellAnchor>
  <xdr:oneCellAnchor>
    <xdr:from>
      <xdr:col>4</xdr:col>
      <xdr:colOff>1685925</xdr:colOff>
      <xdr:row>11</xdr:row>
      <xdr:rowOff>0</xdr:rowOff>
    </xdr:from>
    <xdr:ext cx="114300" cy="1129393"/>
    <xdr:sp macro="" textlink="">
      <xdr:nvSpPr>
        <xdr:cNvPr id="789" name="Text Box 137">
          <a:extLst>
            <a:ext uri="{FF2B5EF4-FFF2-40B4-BE49-F238E27FC236}">
              <a16:creationId xmlns:a16="http://schemas.microsoft.com/office/drawing/2014/main" id="{00000000-0008-0000-0F00-000015030000}"/>
            </a:ext>
          </a:extLst>
        </xdr:cNvPr>
        <xdr:cNvSpPr txBox="1">
          <a:spLocks noChangeArrowheads="1"/>
        </xdr:cNvSpPr>
      </xdr:nvSpPr>
      <xdr:spPr bwMode="auto">
        <a:xfrm>
          <a:off x="3102429" y="4966607"/>
          <a:ext cx="114300" cy="1129393"/>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129393"/>
    <xdr:sp macro="" textlink="">
      <xdr:nvSpPr>
        <xdr:cNvPr id="790" name="Text Box 150">
          <a:extLst>
            <a:ext uri="{FF2B5EF4-FFF2-40B4-BE49-F238E27FC236}">
              <a16:creationId xmlns:a16="http://schemas.microsoft.com/office/drawing/2014/main" id="{00000000-0008-0000-0F00-000016030000}"/>
            </a:ext>
          </a:extLst>
        </xdr:cNvPr>
        <xdr:cNvSpPr txBox="1">
          <a:spLocks noChangeArrowheads="1"/>
        </xdr:cNvSpPr>
      </xdr:nvSpPr>
      <xdr:spPr bwMode="auto">
        <a:xfrm>
          <a:off x="3102429" y="4966607"/>
          <a:ext cx="123825" cy="1129393"/>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129393"/>
    <xdr:sp macro="" textlink="">
      <xdr:nvSpPr>
        <xdr:cNvPr id="791" name="Text Box 151">
          <a:extLst>
            <a:ext uri="{FF2B5EF4-FFF2-40B4-BE49-F238E27FC236}">
              <a16:creationId xmlns:a16="http://schemas.microsoft.com/office/drawing/2014/main" id="{00000000-0008-0000-0F00-000017030000}"/>
            </a:ext>
          </a:extLst>
        </xdr:cNvPr>
        <xdr:cNvSpPr txBox="1">
          <a:spLocks noChangeArrowheads="1"/>
        </xdr:cNvSpPr>
      </xdr:nvSpPr>
      <xdr:spPr bwMode="auto">
        <a:xfrm>
          <a:off x="3102429" y="4966607"/>
          <a:ext cx="123825" cy="1129393"/>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129393"/>
    <xdr:sp macro="" textlink="">
      <xdr:nvSpPr>
        <xdr:cNvPr id="792" name="Text Box 152">
          <a:extLst>
            <a:ext uri="{FF2B5EF4-FFF2-40B4-BE49-F238E27FC236}">
              <a16:creationId xmlns:a16="http://schemas.microsoft.com/office/drawing/2014/main" id="{00000000-0008-0000-0F00-000018030000}"/>
            </a:ext>
          </a:extLst>
        </xdr:cNvPr>
        <xdr:cNvSpPr txBox="1">
          <a:spLocks noChangeArrowheads="1"/>
        </xdr:cNvSpPr>
      </xdr:nvSpPr>
      <xdr:spPr bwMode="auto">
        <a:xfrm>
          <a:off x="3102429" y="4966607"/>
          <a:ext cx="123825" cy="1129393"/>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129393"/>
    <xdr:sp macro="" textlink="">
      <xdr:nvSpPr>
        <xdr:cNvPr id="793" name="Text Box 153">
          <a:extLst>
            <a:ext uri="{FF2B5EF4-FFF2-40B4-BE49-F238E27FC236}">
              <a16:creationId xmlns:a16="http://schemas.microsoft.com/office/drawing/2014/main" id="{00000000-0008-0000-0F00-000019030000}"/>
            </a:ext>
          </a:extLst>
        </xdr:cNvPr>
        <xdr:cNvSpPr txBox="1">
          <a:spLocks noChangeArrowheads="1"/>
        </xdr:cNvSpPr>
      </xdr:nvSpPr>
      <xdr:spPr bwMode="auto">
        <a:xfrm>
          <a:off x="3102429" y="4966607"/>
          <a:ext cx="123825" cy="1129393"/>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40946"/>
    <xdr:sp macro="" textlink="">
      <xdr:nvSpPr>
        <xdr:cNvPr id="794" name="Text Box 154">
          <a:extLst>
            <a:ext uri="{FF2B5EF4-FFF2-40B4-BE49-F238E27FC236}">
              <a16:creationId xmlns:a16="http://schemas.microsoft.com/office/drawing/2014/main" id="{00000000-0008-0000-0F00-00001A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40946"/>
    <xdr:sp macro="" textlink="">
      <xdr:nvSpPr>
        <xdr:cNvPr id="795" name="Text Box 155">
          <a:extLst>
            <a:ext uri="{FF2B5EF4-FFF2-40B4-BE49-F238E27FC236}">
              <a16:creationId xmlns:a16="http://schemas.microsoft.com/office/drawing/2014/main" id="{00000000-0008-0000-0F00-00001B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4</xdr:col>
      <xdr:colOff>1676400</xdr:colOff>
      <xdr:row>11</xdr:row>
      <xdr:rowOff>0</xdr:rowOff>
    </xdr:from>
    <xdr:ext cx="123825" cy="1040946"/>
    <xdr:sp macro="" textlink="">
      <xdr:nvSpPr>
        <xdr:cNvPr id="796" name="Text Box 156">
          <a:extLst>
            <a:ext uri="{FF2B5EF4-FFF2-40B4-BE49-F238E27FC236}">
              <a16:creationId xmlns:a16="http://schemas.microsoft.com/office/drawing/2014/main" id="{00000000-0008-0000-0F00-00001C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8</xdr:col>
      <xdr:colOff>0</xdr:colOff>
      <xdr:row>11</xdr:row>
      <xdr:rowOff>0</xdr:rowOff>
    </xdr:from>
    <xdr:ext cx="123825" cy="1040946"/>
    <xdr:sp macro="" textlink="">
      <xdr:nvSpPr>
        <xdr:cNvPr id="797" name="Text Box 159">
          <a:extLst>
            <a:ext uri="{FF2B5EF4-FFF2-40B4-BE49-F238E27FC236}">
              <a16:creationId xmlns:a16="http://schemas.microsoft.com/office/drawing/2014/main" id="{00000000-0008-0000-0F00-00001D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8</xdr:col>
      <xdr:colOff>0</xdr:colOff>
      <xdr:row>11</xdr:row>
      <xdr:rowOff>0</xdr:rowOff>
    </xdr:from>
    <xdr:ext cx="123825" cy="1040946"/>
    <xdr:sp macro="" textlink="">
      <xdr:nvSpPr>
        <xdr:cNvPr id="798" name="Text Box 160">
          <a:extLst>
            <a:ext uri="{FF2B5EF4-FFF2-40B4-BE49-F238E27FC236}">
              <a16:creationId xmlns:a16="http://schemas.microsoft.com/office/drawing/2014/main" id="{00000000-0008-0000-0F00-00001E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8</xdr:col>
      <xdr:colOff>0</xdr:colOff>
      <xdr:row>11</xdr:row>
      <xdr:rowOff>0</xdr:rowOff>
    </xdr:from>
    <xdr:ext cx="123825" cy="1040946"/>
    <xdr:sp macro="" textlink="">
      <xdr:nvSpPr>
        <xdr:cNvPr id="799" name="Text Box 161">
          <a:extLst>
            <a:ext uri="{FF2B5EF4-FFF2-40B4-BE49-F238E27FC236}">
              <a16:creationId xmlns:a16="http://schemas.microsoft.com/office/drawing/2014/main" id="{00000000-0008-0000-0F00-00001F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8</xdr:col>
      <xdr:colOff>0</xdr:colOff>
      <xdr:row>11</xdr:row>
      <xdr:rowOff>0</xdr:rowOff>
    </xdr:from>
    <xdr:ext cx="123825" cy="1040946"/>
    <xdr:sp macro="" textlink="">
      <xdr:nvSpPr>
        <xdr:cNvPr id="800" name="Text Box 162">
          <a:extLst>
            <a:ext uri="{FF2B5EF4-FFF2-40B4-BE49-F238E27FC236}">
              <a16:creationId xmlns:a16="http://schemas.microsoft.com/office/drawing/2014/main" id="{00000000-0008-0000-0F00-000020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8</xdr:col>
      <xdr:colOff>0</xdr:colOff>
      <xdr:row>11</xdr:row>
      <xdr:rowOff>0</xdr:rowOff>
    </xdr:from>
    <xdr:ext cx="123825" cy="1040946"/>
    <xdr:sp macro="" textlink="">
      <xdr:nvSpPr>
        <xdr:cNvPr id="801" name="Text Box 163">
          <a:extLst>
            <a:ext uri="{FF2B5EF4-FFF2-40B4-BE49-F238E27FC236}">
              <a16:creationId xmlns:a16="http://schemas.microsoft.com/office/drawing/2014/main" id="{00000000-0008-0000-0F00-000021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8</xdr:col>
      <xdr:colOff>0</xdr:colOff>
      <xdr:row>11</xdr:row>
      <xdr:rowOff>0</xdr:rowOff>
    </xdr:from>
    <xdr:ext cx="123825" cy="1040946"/>
    <xdr:sp macro="" textlink="">
      <xdr:nvSpPr>
        <xdr:cNvPr id="802" name="Text Box 164">
          <a:extLst>
            <a:ext uri="{FF2B5EF4-FFF2-40B4-BE49-F238E27FC236}">
              <a16:creationId xmlns:a16="http://schemas.microsoft.com/office/drawing/2014/main" id="{00000000-0008-0000-0F00-000022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8</xdr:col>
      <xdr:colOff>0</xdr:colOff>
      <xdr:row>11</xdr:row>
      <xdr:rowOff>0</xdr:rowOff>
    </xdr:from>
    <xdr:ext cx="123825" cy="1040946"/>
    <xdr:sp macro="" textlink="">
      <xdr:nvSpPr>
        <xdr:cNvPr id="803" name="Text Box 165">
          <a:extLst>
            <a:ext uri="{FF2B5EF4-FFF2-40B4-BE49-F238E27FC236}">
              <a16:creationId xmlns:a16="http://schemas.microsoft.com/office/drawing/2014/main" id="{00000000-0008-0000-0F00-000023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8</xdr:col>
      <xdr:colOff>0</xdr:colOff>
      <xdr:row>11</xdr:row>
      <xdr:rowOff>0</xdr:rowOff>
    </xdr:from>
    <xdr:ext cx="123825" cy="1040946"/>
    <xdr:sp macro="" textlink="">
      <xdr:nvSpPr>
        <xdr:cNvPr id="804" name="Text Box 166">
          <a:extLst>
            <a:ext uri="{FF2B5EF4-FFF2-40B4-BE49-F238E27FC236}">
              <a16:creationId xmlns:a16="http://schemas.microsoft.com/office/drawing/2014/main" id="{00000000-0008-0000-0F00-000024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8</xdr:col>
      <xdr:colOff>0</xdr:colOff>
      <xdr:row>11</xdr:row>
      <xdr:rowOff>0</xdr:rowOff>
    </xdr:from>
    <xdr:ext cx="114300" cy="1129393"/>
    <xdr:sp macro="" textlink="">
      <xdr:nvSpPr>
        <xdr:cNvPr id="805" name="Text Box 167">
          <a:extLst>
            <a:ext uri="{FF2B5EF4-FFF2-40B4-BE49-F238E27FC236}">
              <a16:creationId xmlns:a16="http://schemas.microsoft.com/office/drawing/2014/main" id="{00000000-0008-0000-0F00-000025030000}"/>
            </a:ext>
          </a:extLst>
        </xdr:cNvPr>
        <xdr:cNvSpPr txBox="1">
          <a:spLocks noChangeArrowheads="1"/>
        </xdr:cNvSpPr>
      </xdr:nvSpPr>
      <xdr:spPr bwMode="auto">
        <a:xfrm>
          <a:off x="3102429" y="4966607"/>
          <a:ext cx="114300" cy="1129393"/>
        </a:xfrm>
        <a:prstGeom prst="rect">
          <a:avLst/>
        </a:prstGeom>
        <a:noFill/>
        <a:ln w="9525">
          <a:noFill/>
          <a:miter lim="800000"/>
          <a:headEnd/>
          <a:tailEnd/>
        </a:ln>
      </xdr:spPr>
    </xdr:sp>
    <xdr:clientData/>
  </xdr:oneCellAnchor>
  <xdr:oneCellAnchor>
    <xdr:from>
      <xdr:col>8</xdr:col>
      <xdr:colOff>0</xdr:colOff>
      <xdr:row>11</xdr:row>
      <xdr:rowOff>0</xdr:rowOff>
    </xdr:from>
    <xdr:ext cx="114300" cy="1129393"/>
    <xdr:sp macro="" textlink="">
      <xdr:nvSpPr>
        <xdr:cNvPr id="806" name="Text Box 168">
          <a:extLst>
            <a:ext uri="{FF2B5EF4-FFF2-40B4-BE49-F238E27FC236}">
              <a16:creationId xmlns:a16="http://schemas.microsoft.com/office/drawing/2014/main" id="{00000000-0008-0000-0F00-000026030000}"/>
            </a:ext>
          </a:extLst>
        </xdr:cNvPr>
        <xdr:cNvSpPr txBox="1">
          <a:spLocks noChangeArrowheads="1"/>
        </xdr:cNvSpPr>
      </xdr:nvSpPr>
      <xdr:spPr bwMode="auto">
        <a:xfrm>
          <a:off x="3102429" y="4966607"/>
          <a:ext cx="114300" cy="1129393"/>
        </a:xfrm>
        <a:prstGeom prst="rect">
          <a:avLst/>
        </a:prstGeom>
        <a:noFill/>
        <a:ln w="9525">
          <a:noFill/>
          <a:miter lim="800000"/>
          <a:headEnd/>
          <a:tailEnd/>
        </a:ln>
      </xdr:spPr>
    </xdr:sp>
    <xdr:clientData/>
  </xdr:oneCellAnchor>
  <xdr:oneCellAnchor>
    <xdr:from>
      <xdr:col>8</xdr:col>
      <xdr:colOff>0</xdr:colOff>
      <xdr:row>11</xdr:row>
      <xdr:rowOff>0</xdr:rowOff>
    </xdr:from>
    <xdr:ext cx="123825" cy="1129393"/>
    <xdr:sp macro="" textlink="">
      <xdr:nvSpPr>
        <xdr:cNvPr id="807" name="Text Box 169">
          <a:extLst>
            <a:ext uri="{FF2B5EF4-FFF2-40B4-BE49-F238E27FC236}">
              <a16:creationId xmlns:a16="http://schemas.microsoft.com/office/drawing/2014/main" id="{00000000-0008-0000-0F00-000027030000}"/>
            </a:ext>
          </a:extLst>
        </xdr:cNvPr>
        <xdr:cNvSpPr txBox="1">
          <a:spLocks noChangeArrowheads="1"/>
        </xdr:cNvSpPr>
      </xdr:nvSpPr>
      <xdr:spPr bwMode="auto">
        <a:xfrm>
          <a:off x="3102429" y="4966607"/>
          <a:ext cx="123825" cy="1129393"/>
        </a:xfrm>
        <a:prstGeom prst="rect">
          <a:avLst/>
        </a:prstGeom>
        <a:noFill/>
        <a:ln w="9525">
          <a:noFill/>
          <a:miter lim="800000"/>
          <a:headEnd/>
          <a:tailEnd/>
        </a:ln>
      </xdr:spPr>
    </xdr:sp>
    <xdr:clientData/>
  </xdr:oneCellAnchor>
  <xdr:oneCellAnchor>
    <xdr:from>
      <xdr:col>8</xdr:col>
      <xdr:colOff>0</xdr:colOff>
      <xdr:row>11</xdr:row>
      <xdr:rowOff>0</xdr:rowOff>
    </xdr:from>
    <xdr:ext cx="123825" cy="1129393"/>
    <xdr:sp macro="" textlink="">
      <xdr:nvSpPr>
        <xdr:cNvPr id="808" name="Text Box 170">
          <a:extLst>
            <a:ext uri="{FF2B5EF4-FFF2-40B4-BE49-F238E27FC236}">
              <a16:creationId xmlns:a16="http://schemas.microsoft.com/office/drawing/2014/main" id="{00000000-0008-0000-0F00-000028030000}"/>
            </a:ext>
          </a:extLst>
        </xdr:cNvPr>
        <xdr:cNvSpPr txBox="1">
          <a:spLocks noChangeArrowheads="1"/>
        </xdr:cNvSpPr>
      </xdr:nvSpPr>
      <xdr:spPr bwMode="auto">
        <a:xfrm>
          <a:off x="3102429" y="4966607"/>
          <a:ext cx="123825" cy="1129393"/>
        </a:xfrm>
        <a:prstGeom prst="rect">
          <a:avLst/>
        </a:prstGeom>
        <a:noFill/>
        <a:ln w="9525">
          <a:noFill/>
          <a:miter lim="800000"/>
          <a:headEnd/>
          <a:tailEnd/>
        </a:ln>
      </xdr:spPr>
    </xdr:sp>
    <xdr:clientData/>
  </xdr:oneCellAnchor>
  <xdr:oneCellAnchor>
    <xdr:from>
      <xdr:col>8</xdr:col>
      <xdr:colOff>0</xdr:colOff>
      <xdr:row>11</xdr:row>
      <xdr:rowOff>0</xdr:rowOff>
    </xdr:from>
    <xdr:ext cx="123825" cy="1129393"/>
    <xdr:sp macro="" textlink="">
      <xdr:nvSpPr>
        <xdr:cNvPr id="809" name="Text Box 171">
          <a:extLst>
            <a:ext uri="{FF2B5EF4-FFF2-40B4-BE49-F238E27FC236}">
              <a16:creationId xmlns:a16="http://schemas.microsoft.com/office/drawing/2014/main" id="{00000000-0008-0000-0F00-000029030000}"/>
            </a:ext>
          </a:extLst>
        </xdr:cNvPr>
        <xdr:cNvSpPr txBox="1">
          <a:spLocks noChangeArrowheads="1"/>
        </xdr:cNvSpPr>
      </xdr:nvSpPr>
      <xdr:spPr bwMode="auto">
        <a:xfrm>
          <a:off x="3102429" y="4966607"/>
          <a:ext cx="123825" cy="1129393"/>
        </a:xfrm>
        <a:prstGeom prst="rect">
          <a:avLst/>
        </a:prstGeom>
        <a:noFill/>
        <a:ln w="9525">
          <a:noFill/>
          <a:miter lim="800000"/>
          <a:headEnd/>
          <a:tailEnd/>
        </a:ln>
      </xdr:spPr>
    </xdr:sp>
    <xdr:clientData/>
  </xdr:oneCellAnchor>
  <xdr:oneCellAnchor>
    <xdr:from>
      <xdr:col>8</xdr:col>
      <xdr:colOff>0</xdr:colOff>
      <xdr:row>11</xdr:row>
      <xdr:rowOff>0</xdr:rowOff>
    </xdr:from>
    <xdr:ext cx="123825" cy="1129393"/>
    <xdr:sp macro="" textlink="">
      <xdr:nvSpPr>
        <xdr:cNvPr id="810" name="Text Box 172">
          <a:extLst>
            <a:ext uri="{FF2B5EF4-FFF2-40B4-BE49-F238E27FC236}">
              <a16:creationId xmlns:a16="http://schemas.microsoft.com/office/drawing/2014/main" id="{00000000-0008-0000-0F00-00002A030000}"/>
            </a:ext>
          </a:extLst>
        </xdr:cNvPr>
        <xdr:cNvSpPr txBox="1">
          <a:spLocks noChangeArrowheads="1"/>
        </xdr:cNvSpPr>
      </xdr:nvSpPr>
      <xdr:spPr bwMode="auto">
        <a:xfrm>
          <a:off x="3102429" y="4966607"/>
          <a:ext cx="123825" cy="1129393"/>
        </a:xfrm>
        <a:prstGeom prst="rect">
          <a:avLst/>
        </a:prstGeom>
        <a:noFill/>
        <a:ln w="9525">
          <a:noFill/>
          <a:miter lim="800000"/>
          <a:headEnd/>
          <a:tailEnd/>
        </a:ln>
      </xdr:spPr>
    </xdr:sp>
    <xdr:clientData/>
  </xdr:oneCellAnchor>
  <xdr:oneCellAnchor>
    <xdr:from>
      <xdr:col>8</xdr:col>
      <xdr:colOff>0</xdr:colOff>
      <xdr:row>11</xdr:row>
      <xdr:rowOff>0</xdr:rowOff>
    </xdr:from>
    <xdr:ext cx="123825" cy="1040946"/>
    <xdr:sp macro="" textlink="">
      <xdr:nvSpPr>
        <xdr:cNvPr id="811" name="Text Box 173">
          <a:extLst>
            <a:ext uri="{FF2B5EF4-FFF2-40B4-BE49-F238E27FC236}">
              <a16:creationId xmlns:a16="http://schemas.microsoft.com/office/drawing/2014/main" id="{00000000-0008-0000-0F00-00002B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8</xdr:col>
      <xdr:colOff>0</xdr:colOff>
      <xdr:row>11</xdr:row>
      <xdr:rowOff>0</xdr:rowOff>
    </xdr:from>
    <xdr:ext cx="123825" cy="1040946"/>
    <xdr:sp macro="" textlink="">
      <xdr:nvSpPr>
        <xdr:cNvPr id="812" name="Text Box 174">
          <a:extLst>
            <a:ext uri="{FF2B5EF4-FFF2-40B4-BE49-F238E27FC236}">
              <a16:creationId xmlns:a16="http://schemas.microsoft.com/office/drawing/2014/main" id="{00000000-0008-0000-0F00-00002C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8</xdr:col>
      <xdr:colOff>0</xdr:colOff>
      <xdr:row>11</xdr:row>
      <xdr:rowOff>0</xdr:rowOff>
    </xdr:from>
    <xdr:ext cx="123825" cy="1040946"/>
    <xdr:sp macro="" textlink="">
      <xdr:nvSpPr>
        <xdr:cNvPr id="813" name="Text Box 175">
          <a:extLst>
            <a:ext uri="{FF2B5EF4-FFF2-40B4-BE49-F238E27FC236}">
              <a16:creationId xmlns:a16="http://schemas.microsoft.com/office/drawing/2014/main" id="{00000000-0008-0000-0F00-00002D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8</xdr:col>
      <xdr:colOff>0</xdr:colOff>
      <xdr:row>11</xdr:row>
      <xdr:rowOff>0</xdr:rowOff>
    </xdr:from>
    <xdr:ext cx="123825" cy="1040946"/>
    <xdr:sp macro="" textlink="">
      <xdr:nvSpPr>
        <xdr:cNvPr id="814" name="Text Box 176">
          <a:extLst>
            <a:ext uri="{FF2B5EF4-FFF2-40B4-BE49-F238E27FC236}">
              <a16:creationId xmlns:a16="http://schemas.microsoft.com/office/drawing/2014/main" id="{00000000-0008-0000-0F00-00002E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11</xdr:row>
      <xdr:rowOff>0</xdr:rowOff>
    </xdr:from>
    <xdr:ext cx="123825" cy="1040946"/>
    <xdr:sp macro="" textlink="">
      <xdr:nvSpPr>
        <xdr:cNvPr id="815" name="Text Box 178">
          <a:extLst>
            <a:ext uri="{FF2B5EF4-FFF2-40B4-BE49-F238E27FC236}">
              <a16:creationId xmlns:a16="http://schemas.microsoft.com/office/drawing/2014/main" id="{00000000-0008-0000-0F00-00002F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11</xdr:row>
      <xdr:rowOff>0</xdr:rowOff>
    </xdr:from>
    <xdr:ext cx="123825" cy="1040946"/>
    <xdr:sp macro="" textlink="">
      <xdr:nvSpPr>
        <xdr:cNvPr id="816" name="Text Box 179">
          <a:extLst>
            <a:ext uri="{FF2B5EF4-FFF2-40B4-BE49-F238E27FC236}">
              <a16:creationId xmlns:a16="http://schemas.microsoft.com/office/drawing/2014/main" id="{00000000-0008-0000-0F00-000030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11</xdr:row>
      <xdr:rowOff>0</xdr:rowOff>
    </xdr:from>
    <xdr:ext cx="123825" cy="1040946"/>
    <xdr:sp macro="" textlink="">
      <xdr:nvSpPr>
        <xdr:cNvPr id="817" name="Text Box 180">
          <a:extLst>
            <a:ext uri="{FF2B5EF4-FFF2-40B4-BE49-F238E27FC236}">
              <a16:creationId xmlns:a16="http://schemas.microsoft.com/office/drawing/2014/main" id="{00000000-0008-0000-0F00-000031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11</xdr:row>
      <xdr:rowOff>0</xdr:rowOff>
    </xdr:from>
    <xdr:ext cx="123825" cy="1040946"/>
    <xdr:sp macro="" textlink="">
      <xdr:nvSpPr>
        <xdr:cNvPr id="818" name="Text Box 181">
          <a:extLst>
            <a:ext uri="{FF2B5EF4-FFF2-40B4-BE49-F238E27FC236}">
              <a16:creationId xmlns:a16="http://schemas.microsoft.com/office/drawing/2014/main" id="{00000000-0008-0000-0F00-000032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11</xdr:row>
      <xdr:rowOff>0</xdr:rowOff>
    </xdr:from>
    <xdr:ext cx="123825" cy="1040946"/>
    <xdr:sp macro="" textlink="">
      <xdr:nvSpPr>
        <xdr:cNvPr id="819" name="Text Box 182">
          <a:extLst>
            <a:ext uri="{FF2B5EF4-FFF2-40B4-BE49-F238E27FC236}">
              <a16:creationId xmlns:a16="http://schemas.microsoft.com/office/drawing/2014/main" id="{00000000-0008-0000-0F00-000033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11</xdr:row>
      <xdr:rowOff>0</xdr:rowOff>
    </xdr:from>
    <xdr:ext cx="123825" cy="1040946"/>
    <xdr:sp macro="" textlink="">
      <xdr:nvSpPr>
        <xdr:cNvPr id="820" name="Text Box 183">
          <a:extLst>
            <a:ext uri="{FF2B5EF4-FFF2-40B4-BE49-F238E27FC236}">
              <a16:creationId xmlns:a16="http://schemas.microsoft.com/office/drawing/2014/main" id="{00000000-0008-0000-0F00-000034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11</xdr:row>
      <xdr:rowOff>0</xdr:rowOff>
    </xdr:from>
    <xdr:ext cx="123825" cy="1040946"/>
    <xdr:sp macro="" textlink="">
      <xdr:nvSpPr>
        <xdr:cNvPr id="821" name="Text Box 184">
          <a:extLst>
            <a:ext uri="{FF2B5EF4-FFF2-40B4-BE49-F238E27FC236}">
              <a16:creationId xmlns:a16="http://schemas.microsoft.com/office/drawing/2014/main" id="{00000000-0008-0000-0F00-000035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11</xdr:row>
      <xdr:rowOff>0</xdr:rowOff>
    </xdr:from>
    <xdr:ext cx="123825" cy="1040946"/>
    <xdr:sp macro="" textlink="">
      <xdr:nvSpPr>
        <xdr:cNvPr id="822" name="Text Box 185">
          <a:extLst>
            <a:ext uri="{FF2B5EF4-FFF2-40B4-BE49-F238E27FC236}">
              <a16:creationId xmlns:a16="http://schemas.microsoft.com/office/drawing/2014/main" id="{00000000-0008-0000-0F00-000036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11</xdr:row>
      <xdr:rowOff>0</xdr:rowOff>
    </xdr:from>
    <xdr:ext cx="114300" cy="1129393"/>
    <xdr:sp macro="" textlink="">
      <xdr:nvSpPr>
        <xdr:cNvPr id="823" name="Text Box 186">
          <a:extLst>
            <a:ext uri="{FF2B5EF4-FFF2-40B4-BE49-F238E27FC236}">
              <a16:creationId xmlns:a16="http://schemas.microsoft.com/office/drawing/2014/main" id="{00000000-0008-0000-0F00-000037030000}"/>
            </a:ext>
          </a:extLst>
        </xdr:cNvPr>
        <xdr:cNvSpPr txBox="1">
          <a:spLocks noChangeArrowheads="1"/>
        </xdr:cNvSpPr>
      </xdr:nvSpPr>
      <xdr:spPr bwMode="auto">
        <a:xfrm>
          <a:off x="3102429" y="4966607"/>
          <a:ext cx="114300" cy="1129393"/>
        </a:xfrm>
        <a:prstGeom prst="rect">
          <a:avLst/>
        </a:prstGeom>
        <a:noFill/>
        <a:ln w="9525">
          <a:noFill/>
          <a:miter lim="800000"/>
          <a:headEnd/>
          <a:tailEnd/>
        </a:ln>
      </xdr:spPr>
    </xdr:sp>
    <xdr:clientData/>
  </xdr:oneCellAnchor>
  <xdr:oneCellAnchor>
    <xdr:from>
      <xdr:col>7</xdr:col>
      <xdr:colOff>0</xdr:colOff>
      <xdr:row>11</xdr:row>
      <xdr:rowOff>0</xdr:rowOff>
    </xdr:from>
    <xdr:ext cx="114300" cy="1129393"/>
    <xdr:sp macro="" textlink="">
      <xdr:nvSpPr>
        <xdr:cNvPr id="824" name="Text Box 187">
          <a:extLst>
            <a:ext uri="{FF2B5EF4-FFF2-40B4-BE49-F238E27FC236}">
              <a16:creationId xmlns:a16="http://schemas.microsoft.com/office/drawing/2014/main" id="{00000000-0008-0000-0F00-000038030000}"/>
            </a:ext>
          </a:extLst>
        </xdr:cNvPr>
        <xdr:cNvSpPr txBox="1">
          <a:spLocks noChangeArrowheads="1"/>
        </xdr:cNvSpPr>
      </xdr:nvSpPr>
      <xdr:spPr bwMode="auto">
        <a:xfrm>
          <a:off x="3102429" y="4966607"/>
          <a:ext cx="114300" cy="1129393"/>
        </a:xfrm>
        <a:prstGeom prst="rect">
          <a:avLst/>
        </a:prstGeom>
        <a:noFill/>
        <a:ln w="9525">
          <a:noFill/>
          <a:miter lim="800000"/>
          <a:headEnd/>
          <a:tailEnd/>
        </a:ln>
      </xdr:spPr>
    </xdr:sp>
    <xdr:clientData/>
  </xdr:oneCellAnchor>
  <xdr:oneCellAnchor>
    <xdr:from>
      <xdr:col>7</xdr:col>
      <xdr:colOff>0</xdr:colOff>
      <xdr:row>11</xdr:row>
      <xdr:rowOff>0</xdr:rowOff>
    </xdr:from>
    <xdr:ext cx="123825" cy="1129393"/>
    <xdr:sp macro="" textlink="">
      <xdr:nvSpPr>
        <xdr:cNvPr id="825" name="Text Box 188">
          <a:extLst>
            <a:ext uri="{FF2B5EF4-FFF2-40B4-BE49-F238E27FC236}">
              <a16:creationId xmlns:a16="http://schemas.microsoft.com/office/drawing/2014/main" id="{00000000-0008-0000-0F00-000039030000}"/>
            </a:ext>
          </a:extLst>
        </xdr:cNvPr>
        <xdr:cNvSpPr txBox="1">
          <a:spLocks noChangeArrowheads="1"/>
        </xdr:cNvSpPr>
      </xdr:nvSpPr>
      <xdr:spPr bwMode="auto">
        <a:xfrm>
          <a:off x="3102429" y="4966607"/>
          <a:ext cx="123825" cy="1129393"/>
        </a:xfrm>
        <a:prstGeom prst="rect">
          <a:avLst/>
        </a:prstGeom>
        <a:noFill/>
        <a:ln w="9525">
          <a:noFill/>
          <a:miter lim="800000"/>
          <a:headEnd/>
          <a:tailEnd/>
        </a:ln>
      </xdr:spPr>
    </xdr:sp>
    <xdr:clientData/>
  </xdr:oneCellAnchor>
  <xdr:oneCellAnchor>
    <xdr:from>
      <xdr:col>7</xdr:col>
      <xdr:colOff>0</xdr:colOff>
      <xdr:row>11</xdr:row>
      <xdr:rowOff>0</xdr:rowOff>
    </xdr:from>
    <xdr:ext cx="123825" cy="1129393"/>
    <xdr:sp macro="" textlink="">
      <xdr:nvSpPr>
        <xdr:cNvPr id="826" name="Text Box 189">
          <a:extLst>
            <a:ext uri="{FF2B5EF4-FFF2-40B4-BE49-F238E27FC236}">
              <a16:creationId xmlns:a16="http://schemas.microsoft.com/office/drawing/2014/main" id="{00000000-0008-0000-0F00-00003A030000}"/>
            </a:ext>
          </a:extLst>
        </xdr:cNvPr>
        <xdr:cNvSpPr txBox="1">
          <a:spLocks noChangeArrowheads="1"/>
        </xdr:cNvSpPr>
      </xdr:nvSpPr>
      <xdr:spPr bwMode="auto">
        <a:xfrm>
          <a:off x="3102429" y="4966607"/>
          <a:ext cx="123825" cy="1129393"/>
        </a:xfrm>
        <a:prstGeom prst="rect">
          <a:avLst/>
        </a:prstGeom>
        <a:noFill/>
        <a:ln w="9525">
          <a:noFill/>
          <a:miter lim="800000"/>
          <a:headEnd/>
          <a:tailEnd/>
        </a:ln>
      </xdr:spPr>
    </xdr:sp>
    <xdr:clientData/>
  </xdr:oneCellAnchor>
  <xdr:oneCellAnchor>
    <xdr:from>
      <xdr:col>7</xdr:col>
      <xdr:colOff>0</xdr:colOff>
      <xdr:row>11</xdr:row>
      <xdr:rowOff>0</xdr:rowOff>
    </xdr:from>
    <xdr:ext cx="123825" cy="1129393"/>
    <xdr:sp macro="" textlink="">
      <xdr:nvSpPr>
        <xdr:cNvPr id="827" name="Text Box 190">
          <a:extLst>
            <a:ext uri="{FF2B5EF4-FFF2-40B4-BE49-F238E27FC236}">
              <a16:creationId xmlns:a16="http://schemas.microsoft.com/office/drawing/2014/main" id="{00000000-0008-0000-0F00-00003B030000}"/>
            </a:ext>
          </a:extLst>
        </xdr:cNvPr>
        <xdr:cNvSpPr txBox="1">
          <a:spLocks noChangeArrowheads="1"/>
        </xdr:cNvSpPr>
      </xdr:nvSpPr>
      <xdr:spPr bwMode="auto">
        <a:xfrm>
          <a:off x="3102429" y="4966607"/>
          <a:ext cx="123825" cy="1129393"/>
        </a:xfrm>
        <a:prstGeom prst="rect">
          <a:avLst/>
        </a:prstGeom>
        <a:noFill/>
        <a:ln w="9525">
          <a:noFill/>
          <a:miter lim="800000"/>
          <a:headEnd/>
          <a:tailEnd/>
        </a:ln>
      </xdr:spPr>
    </xdr:sp>
    <xdr:clientData/>
  </xdr:oneCellAnchor>
  <xdr:oneCellAnchor>
    <xdr:from>
      <xdr:col>7</xdr:col>
      <xdr:colOff>0</xdr:colOff>
      <xdr:row>11</xdr:row>
      <xdr:rowOff>0</xdr:rowOff>
    </xdr:from>
    <xdr:ext cx="123825" cy="1129393"/>
    <xdr:sp macro="" textlink="">
      <xdr:nvSpPr>
        <xdr:cNvPr id="828" name="Text Box 191">
          <a:extLst>
            <a:ext uri="{FF2B5EF4-FFF2-40B4-BE49-F238E27FC236}">
              <a16:creationId xmlns:a16="http://schemas.microsoft.com/office/drawing/2014/main" id="{00000000-0008-0000-0F00-00003C030000}"/>
            </a:ext>
          </a:extLst>
        </xdr:cNvPr>
        <xdr:cNvSpPr txBox="1">
          <a:spLocks noChangeArrowheads="1"/>
        </xdr:cNvSpPr>
      </xdr:nvSpPr>
      <xdr:spPr bwMode="auto">
        <a:xfrm>
          <a:off x="3102429" y="4966607"/>
          <a:ext cx="123825" cy="1129393"/>
        </a:xfrm>
        <a:prstGeom prst="rect">
          <a:avLst/>
        </a:prstGeom>
        <a:noFill/>
        <a:ln w="9525">
          <a:noFill/>
          <a:miter lim="800000"/>
          <a:headEnd/>
          <a:tailEnd/>
        </a:ln>
      </xdr:spPr>
    </xdr:sp>
    <xdr:clientData/>
  </xdr:oneCellAnchor>
  <xdr:oneCellAnchor>
    <xdr:from>
      <xdr:col>7</xdr:col>
      <xdr:colOff>0</xdr:colOff>
      <xdr:row>11</xdr:row>
      <xdr:rowOff>0</xdr:rowOff>
    </xdr:from>
    <xdr:ext cx="123825" cy="1040946"/>
    <xdr:sp macro="" textlink="">
      <xdr:nvSpPr>
        <xdr:cNvPr id="829" name="Text Box 192">
          <a:extLst>
            <a:ext uri="{FF2B5EF4-FFF2-40B4-BE49-F238E27FC236}">
              <a16:creationId xmlns:a16="http://schemas.microsoft.com/office/drawing/2014/main" id="{00000000-0008-0000-0F00-00003D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11</xdr:row>
      <xdr:rowOff>0</xdr:rowOff>
    </xdr:from>
    <xdr:ext cx="123825" cy="1040946"/>
    <xdr:sp macro="" textlink="">
      <xdr:nvSpPr>
        <xdr:cNvPr id="830" name="Text Box 193">
          <a:extLst>
            <a:ext uri="{FF2B5EF4-FFF2-40B4-BE49-F238E27FC236}">
              <a16:creationId xmlns:a16="http://schemas.microsoft.com/office/drawing/2014/main" id="{00000000-0008-0000-0F00-00003E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11</xdr:row>
      <xdr:rowOff>0</xdr:rowOff>
    </xdr:from>
    <xdr:ext cx="123825" cy="1040946"/>
    <xdr:sp macro="" textlink="">
      <xdr:nvSpPr>
        <xdr:cNvPr id="831" name="Text Box 194">
          <a:extLst>
            <a:ext uri="{FF2B5EF4-FFF2-40B4-BE49-F238E27FC236}">
              <a16:creationId xmlns:a16="http://schemas.microsoft.com/office/drawing/2014/main" id="{00000000-0008-0000-0F00-00003F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11</xdr:row>
      <xdr:rowOff>0</xdr:rowOff>
    </xdr:from>
    <xdr:ext cx="123825" cy="1040946"/>
    <xdr:sp macro="" textlink="">
      <xdr:nvSpPr>
        <xdr:cNvPr id="832" name="Text Box 195">
          <a:extLst>
            <a:ext uri="{FF2B5EF4-FFF2-40B4-BE49-F238E27FC236}">
              <a16:creationId xmlns:a16="http://schemas.microsoft.com/office/drawing/2014/main" id="{00000000-0008-0000-0F00-000040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11</xdr:row>
      <xdr:rowOff>0</xdr:rowOff>
    </xdr:from>
    <xdr:ext cx="123825" cy="1040946"/>
    <xdr:sp macro="" textlink="">
      <xdr:nvSpPr>
        <xdr:cNvPr id="833" name="Text Box 196">
          <a:extLst>
            <a:ext uri="{FF2B5EF4-FFF2-40B4-BE49-F238E27FC236}">
              <a16:creationId xmlns:a16="http://schemas.microsoft.com/office/drawing/2014/main" id="{00000000-0008-0000-0F00-000041030000}"/>
            </a:ext>
          </a:extLst>
        </xdr:cNvPr>
        <xdr:cNvSpPr txBox="1">
          <a:spLocks noChangeArrowheads="1"/>
        </xdr:cNvSpPr>
      </xdr:nvSpPr>
      <xdr:spPr bwMode="auto">
        <a:xfrm>
          <a:off x="3102429" y="4966607"/>
          <a:ext cx="123825" cy="1040946"/>
        </a:xfrm>
        <a:prstGeom prst="rect">
          <a:avLst/>
        </a:prstGeom>
        <a:noFill/>
        <a:ln w="9525">
          <a:noFill/>
          <a:miter lim="800000"/>
          <a:headEnd/>
          <a:tailEnd/>
        </a:ln>
      </xdr:spPr>
    </xdr:sp>
    <xdr:clientData/>
  </xdr:oneCellAnchor>
  <xdr:oneCellAnchor>
    <xdr:from>
      <xdr:col>7</xdr:col>
      <xdr:colOff>0</xdr:colOff>
      <xdr:row>12</xdr:row>
      <xdr:rowOff>0</xdr:rowOff>
    </xdr:from>
    <xdr:ext cx="123825" cy="936171"/>
    <xdr:sp macro="" textlink="">
      <xdr:nvSpPr>
        <xdr:cNvPr id="834" name="Text Box 197">
          <a:extLst>
            <a:ext uri="{FF2B5EF4-FFF2-40B4-BE49-F238E27FC236}">
              <a16:creationId xmlns:a16="http://schemas.microsoft.com/office/drawing/2014/main" id="{00000000-0008-0000-0F00-000042030000}"/>
            </a:ext>
          </a:extLst>
        </xdr:cNvPr>
        <xdr:cNvSpPr txBox="1">
          <a:spLocks noChangeArrowheads="1"/>
        </xdr:cNvSpPr>
      </xdr:nvSpPr>
      <xdr:spPr bwMode="auto">
        <a:xfrm>
          <a:off x="3102429" y="5388429"/>
          <a:ext cx="123825" cy="936171"/>
        </a:xfrm>
        <a:prstGeom prst="rect">
          <a:avLst/>
        </a:prstGeom>
        <a:noFill/>
        <a:ln w="9525">
          <a:noFill/>
          <a:miter lim="800000"/>
          <a:headEnd/>
          <a:tailEnd/>
        </a:ln>
      </xdr:spPr>
    </xdr:sp>
    <xdr:clientData/>
  </xdr:oneCellAnchor>
  <xdr:oneCellAnchor>
    <xdr:from>
      <xdr:col>7</xdr:col>
      <xdr:colOff>0</xdr:colOff>
      <xdr:row>12</xdr:row>
      <xdr:rowOff>0</xdr:rowOff>
    </xdr:from>
    <xdr:ext cx="123825" cy="936171"/>
    <xdr:sp macro="" textlink="">
      <xdr:nvSpPr>
        <xdr:cNvPr id="835" name="Text Box 198">
          <a:extLst>
            <a:ext uri="{FF2B5EF4-FFF2-40B4-BE49-F238E27FC236}">
              <a16:creationId xmlns:a16="http://schemas.microsoft.com/office/drawing/2014/main" id="{00000000-0008-0000-0F00-000043030000}"/>
            </a:ext>
          </a:extLst>
        </xdr:cNvPr>
        <xdr:cNvSpPr txBox="1">
          <a:spLocks noChangeArrowheads="1"/>
        </xdr:cNvSpPr>
      </xdr:nvSpPr>
      <xdr:spPr bwMode="auto">
        <a:xfrm>
          <a:off x="3102429" y="5388429"/>
          <a:ext cx="123825" cy="936171"/>
        </a:xfrm>
        <a:prstGeom prst="rect">
          <a:avLst/>
        </a:prstGeom>
        <a:noFill/>
        <a:ln w="9525">
          <a:noFill/>
          <a:miter lim="800000"/>
          <a:headEnd/>
          <a:tailEnd/>
        </a:ln>
      </xdr:spPr>
    </xdr:sp>
    <xdr:clientData/>
  </xdr:oneCellAnchor>
  <xdr:oneCellAnchor>
    <xdr:from>
      <xdr:col>7</xdr:col>
      <xdr:colOff>0</xdr:colOff>
      <xdr:row>12</xdr:row>
      <xdr:rowOff>0</xdr:rowOff>
    </xdr:from>
    <xdr:ext cx="123825" cy="936171"/>
    <xdr:sp macro="" textlink="">
      <xdr:nvSpPr>
        <xdr:cNvPr id="836" name="Text Box 199">
          <a:extLst>
            <a:ext uri="{FF2B5EF4-FFF2-40B4-BE49-F238E27FC236}">
              <a16:creationId xmlns:a16="http://schemas.microsoft.com/office/drawing/2014/main" id="{00000000-0008-0000-0F00-000044030000}"/>
            </a:ext>
          </a:extLst>
        </xdr:cNvPr>
        <xdr:cNvSpPr txBox="1">
          <a:spLocks noChangeArrowheads="1"/>
        </xdr:cNvSpPr>
      </xdr:nvSpPr>
      <xdr:spPr bwMode="auto">
        <a:xfrm>
          <a:off x="3102429" y="5388429"/>
          <a:ext cx="123825" cy="936171"/>
        </a:xfrm>
        <a:prstGeom prst="rect">
          <a:avLst/>
        </a:prstGeom>
        <a:noFill/>
        <a:ln w="9525">
          <a:noFill/>
          <a:miter lim="800000"/>
          <a:headEnd/>
          <a:tailEnd/>
        </a:ln>
      </xdr:spPr>
    </xdr:sp>
    <xdr:clientData/>
  </xdr:oneCellAnchor>
  <xdr:oneCellAnchor>
    <xdr:from>
      <xdr:col>7</xdr:col>
      <xdr:colOff>0</xdr:colOff>
      <xdr:row>12</xdr:row>
      <xdr:rowOff>0</xdr:rowOff>
    </xdr:from>
    <xdr:ext cx="123825" cy="936171"/>
    <xdr:sp macro="" textlink="">
      <xdr:nvSpPr>
        <xdr:cNvPr id="837" name="Text Box 200">
          <a:extLst>
            <a:ext uri="{FF2B5EF4-FFF2-40B4-BE49-F238E27FC236}">
              <a16:creationId xmlns:a16="http://schemas.microsoft.com/office/drawing/2014/main" id="{00000000-0008-0000-0F00-000045030000}"/>
            </a:ext>
          </a:extLst>
        </xdr:cNvPr>
        <xdr:cNvSpPr txBox="1">
          <a:spLocks noChangeArrowheads="1"/>
        </xdr:cNvSpPr>
      </xdr:nvSpPr>
      <xdr:spPr bwMode="auto">
        <a:xfrm>
          <a:off x="3102429" y="5388429"/>
          <a:ext cx="123825" cy="936171"/>
        </a:xfrm>
        <a:prstGeom prst="rect">
          <a:avLst/>
        </a:prstGeom>
        <a:noFill/>
        <a:ln w="9525">
          <a:noFill/>
          <a:miter lim="800000"/>
          <a:headEnd/>
          <a:tailEnd/>
        </a:ln>
      </xdr:spPr>
    </xdr:sp>
    <xdr:clientData/>
  </xdr:oneCellAnchor>
  <xdr:oneCellAnchor>
    <xdr:from>
      <xdr:col>7</xdr:col>
      <xdr:colOff>0</xdr:colOff>
      <xdr:row>12</xdr:row>
      <xdr:rowOff>0</xdr:rowOff>
    </xdr:from>
    <xdr:ext cx="123825" cy="936171"/>
    <xdr:sp macro="" textlink="">
      <xdr:nvSpPr>
        <xdr:cNvPr id="838" name="Text Box 201">
          <a:extLst>
            <a:ext uri="{FF2B5EF4-FFF2-40B4-BE49-F238E27FC236}">
              <a16:creationId xmlns:a16="http://schemas.microsoft.com/office/drawing/2014/main" id="{00000000-0008-0000-0F00-000046030000}"/>
            </a:ext>
          </a:extLst>
        </xdr:cNvPr>
        <xdr:cNvSpPr txBox="1">
          <a:spLocks noChangeArrowheads="1"/>
        </xdr:cNvSpPr>
      </xdr:nvSpPr>
      <xdr:spPr bwMode="auto">
        <a:xfrm>
          <a:off x="3102429" y="5388429"/>
          <a:ext cx="123825" cy="936171"/>
        </a:xfrm>
        <a:prstGeom prst="rect">
          <a:avLst/>
        </a:prstGeom>
        <a:noFill/>
        <a:ln w="9525">
          <a:noFill/>
          <a:miter lim="800000"/>
          <a:headEnd/>
          <a:tailEnd/>
        </a:ln>
      </xdr:spPr>
    </xdr:sp>
    <xdr:clientData/>
  </xdr:oneCellAnchor>
  <xdr:oneCellAnchor>
    <xdr:from>
      <xdr:col>7</xdr:col>
      <xdr:colOff>0</xdr:colOff>
      <xdr:row>12</xdr:row>
      <xdr:rowOff>0</xdr:rowOff>
    </xdr:from>
    <xdr:ext cx="123825" cy="936171"/>
    <xdr:sp macro="" textlink="">
      <xdr:nvSpPr>
        <xdr:cNvPr id="839" name="Text Box 202">
          <a:extLst>
            <a:ext uri="{FF2B5EF4-FFF2-40B4-BE49-F238E27FC236}">
              <a16:creationId xmlns:a16="http://schemas.microsoft.com/office/drawing/2014/main" id="{00000000-0008-0000-0F00-000047030000}"/>
            </a:ext>
          </a:extLst>
        </xdr:cNvPr>
        <xdr:cNvSpPr txBox="1">
          <a:spLocks noChangeArrowheads="1"/>
        </xdr:cNvSpPr>
      </xdr:nvSpPr>
      <xdr:spPr bwMode="auto">
        <a:xfrm>
          <a:off x="3102429" y="5388429"/>
          <a:ext cx="123825" cy="936171"/>
        </a:xfrm>
        <a:prstGeom prst="rect">
          <a:avLst/>
        </a:prstGeom>
        <a:noFill/>
        <a:ln w="9525">
          <a:noFill/>
          <a:miter lim="800000"/>
          <a:headEnd/>
          <a:tailEnd/>
        </a:ln>
      </xdr:spPr>
    </xdr:sp>
    <xdr:clientData/>
  </xdr:oneCellAnchor>
  <xdr:oneCellAnchor>
    <xdr:from>
      <xdr:col>7</xdr:col>
      <xdr:colOff>0</xdr:colOff>
      <xdr:row>12</xdr:row>
      <xdr:rowOff>0</xdr:rowOff>
    </xdr:from>
    <xdr:ext cx="123825" cy="936171"/>
    <xdr:sp macro="" textlink="">
      <xdr:nvSpPr>
        <xdr:cNvPr id="840" name="Text Box 203">
          <a:extLst>
            <a:ext uri="{FF2B5EF4-FFF2-40B4-BE49-F238E27FC236}">
              <a16:creationId xmlns:a16="http://schemas.microsoft.com/office/drawing/2014/main" id="{00000000-0008-0000-0F00-000048030000}"/>
            </a:ext>
          </a:extLst>
        </xdr:cNvPr>
        <xdr:cNvSpPr txBox="1">
          <a:spLocks noChangeArrowheads="1"/>
        </xdr:cNvSpPr>
      </xdr:nvSpPr>
      <xdr:spPr bwMode="auto">
        <a:xfrm>
          <a:off x="3102429" y="5388429"/>
          <a:ext cx="123825" cy="936171"/>
        </a:xfrm>
        <a:prstGeom prst="rect">
          <a:avLst/>
        </a:prstGeom>
        <a:noFill/>
        <a:ln w="9525">
          <a:noFill/>
          <a:miter lim="800000"/>
          <a:headEnd/>
          <a:tailEnd/>
        </a:ln>
      </xdr:spPr>
    </xdr:sp>
    <xdr:clientData/>
  </xdr:oneCellAnchor>
  <xdr:oneCellAnchor>
    <xdr:from>
      <xdr:col>7</xdr:col>
      <xdr:colOff>0</xdr:colOff>
      <xdr:row>12</xdr:row>
      <xdr:rowOff>0</xdr:rowOff>
    </xdr:from>
    <xdr:ext cx="123825" cy="936171"/>
    <xdr:sp macro="" textlink="">
      <xdr:nvSpPr>
        <xdr:cNvPr id="841" name="Text Box 204">
          <a:extLst>
            <a:ext uri="{FF2B5EF4-FFF2-40B4-BE49-F238E27FC236}">
              <a16:creationId xmlns:a16="http://schemas.microsoft.com/office/drawing/2014/main" id="{00000000-0008-0000-0F00-000049030000}"/>
            </a:ext>
          </a:extLst>
        </xdr:cNvPr>
        <xdr:cNvSpPr txBox="1">
          <a:spLocks noChangeArrowheads="1"/>
        </xdr:cNvSpPr>
      </xdr:nvSpPr>
      <xdr:spPr bwMode="auto">
        <a:xfrm>
          <a:off x="3102429" y="5388429"/>
          <a:ext cx="123825" cy="936171"/>
        </a:xfrm>
        <a:prstGeom prst="rect">
          <a:avLst/>
        </a:prstGeom>
        <a:noFill/>
        <a:ln w="9525">
          <a:noFill/>
          <a:miter lim="800000"/>
          <a:headEnd/>
          <a:tailEnd/>
        </a:ln>
      </xdr:spPr>
    </xdr:sp>
    <xdr:clientData/>
  </xdr:oneCellAnchor>
  <xdr:oneCellAnchor>
    <xdr:from>
      <xdr:col>7</xdr:col>
      <xdr:colOff>0</xdr:colOff>
      <xdr:row>12</xdr:row>
      <xdr:rowOff>0</xdr:rowOff>
    </xdr:from>
    <xdr:ext cx="114300" cy="1050471"/>
    <xdr:sp macro="" textlink="">
      <xdr:nvSpPr>
        <xdr:cNvPr id="842" name="Text Box 205">
          <a:extLst>
            <a:ext uri="{FF2B5EF4-FFF2-40B4-BE49-F238E27FC236}">
              <a16:creationId xmlns:a16="http://schemas.microsoft.com/office/drawing/2014/main" id="{00000000-0008-0000-0F00-00004A030000}"/>
            </a:ext>
          </a:extLst>
        </xdr:cNvPr>
        <xdr:cNvSpPr txBox="1">
          <a:spLocks noChangeArrowheads="1"/>
        </xdr:cNvSpPr>
      </xdr:nvSpPr>
      <xdr:spPr bwMode="auto">
        <a:xfrm>
          <a:off x="3102429" y="5388429"/>
          <a:ext cx="114300" cy="1050471"/>
        </a:xfrm>
        <a:prstGeom prst="rect">
          <a:avLst/>
        </a:prstGeom>
        <a:noFill/>
        <a:ln w="9525">
          <a:noFill/>
          <a:miter lim="800000"/>
          <a:headEnd/>
          <a:tailEnd/>
        </a:ln>
      </xdr:spPr>
    </xdr:sp>
    <xdr:clientData/>
  </xdr:oneCellAnchor>
  <xdr:oneCellAnchor>
    <xdr:from>
      <xdr:col>7</xdr:col>
      <xdr:colOff>0</xdr:colOff>
      <xdr:row>12</xdr:row>
      <xdr:rowOff>0</xdr:rowOff>
    </xdr:from>
    <xdr:ext cx="114300" cy="1050471"/>
    <xdr:sp macro="" textlink="">
      <xdr:nvSpPr>
        <xdr:cNvPr id="843" name="Text Box 206">
          <a:extLst>
            <a:ext uri="{FF2B5EF4-FFF2-40B4-BE49-F238E27FC236}">
              <a16:creationId xmlns:a16="http://schemas.microsoft.com/office/drawing/2014/main" id="{00000000-0008-0000-0F00-00004B030000}"/>
            </a:ext>
          </a:extLst>
        </xdr:cNvPr>
        <xdr:cNvSpPr txBox="1">
          <a:spLocks noChangeArrowheads="1"/>
        </xdr:cNvSpPr>
      </xdr:nvSpPr>
      <xdr:spPr bwMode="auto">
        <a:xfrm>
          <a:off x="3102429" y="5388429"/>
          <a:ext cx="114300" cy="1050471"/>
        </a:xfrm>
        <a:prstGeom prst="rect">
          <a:avLst/>
        </a:prstGeom>
        <a:noFill/>
        <a:ln w="9525">
          <a:noFill/>
          <a:miter lim="800000"/>
          <a:headEnd/>
          <a:tailEnd/>
        </a:ln>
      </xdr:spPr>
    </xdr:sp>
    <xdr:clientData/>
  </xdr:oneCellAnchor>
  <xdr:oneCellAnchor>
    <xdr:from>
      <xdr:col>7</xdr:col>
      <xdr:colOff>0</xdr:colOff>
      <xdr:row>12</xdr:row>
      <xdr:rowOff>0</xdr:rowOff>
    </xdr:from>
    <xdr:ext cx="123825" cy="1050471"/>
    <xdr:sp macro="" textlink="">
      <xdr:nvSpPr>
        <xdr:cNvPr id="844" name="Text Box 207">
          <a:extLst>
            <a:ext uri="{FF2B5EF4-FFF2-40B4-BE49-F238E27FC236}">
              <a16:creationId xmlns:a16="http://schemas.microsoft.com/office/drawing/2014/main" id="{00000000-0008-0000-0F00-00004C030000}"/>
            </a:ext>
          </a:extLst>
        </xdr:cNvPr>
        <xdr:cNvSpPr txBox="1">
          <a:spLocks noChangeArrowheads="1"/>
        </xdr:cNvSpPr>
      </xdr:nvSpPr>
      <xdr:spPr bwMode="auto">
        <a:xfrm>
          <a:off x="3102429" y="5388429"/>
          <a:ext cx="123825" cy="1050471"/>
        </a:xfrm>
        <a:prstGeom prst="rect">
          <a:avLst/>
        </a:prstGeom>
        <a:noFill/>
        <a:ln w="9525">
          <a:noFill/>
          <a:miter lim="800000"/>
          <a:headEnd/>
          <a:tailEnd/>
        </a:ln>
      </xdr:spPr>
    </xdr:sp>
    <xdr:clientData/>
  </xdr:oneCellAnchor>
  <xdr:oneCellAnchor>
    <xdr:from>
      <xdr:col>7</xdr:col>
      <xdr:colOff>0</xdr:colOff>
      <xdr:row>12</xdr:row>
      <xdr:rowOff>0</xdr:rowOff>
    </xdr:from>
    <xdr:ext cx="123825" cy="1050471"/>
    <xdr:sp macro="" textlink="">
      <xdr:nvSpPr>
        <xdr:cNvPr id="845" name="Text Box 208">
          <a:extLst>
            <a:ext uri="{FF2B5EF4-FFF2-40B4-BE49-F238E27FC236}">
              <a16:creationId xmlns:a16="http://schemas.microsoft.com/office/drawing/2014/main" id="{00000000-0008-0000-0F00-00004D030000}"/>
            </a:ext>
          </a:extLst>
        </xdr:cNvPr>
        <xdr:cNvSpPr txBox="1">
          <a:spLocks noChangeArrowheads="1"/>
        </xdr:cNvSpPr>
      </xdr:nvSpPr>
      <xdr:spPr bwMode="auto">
        <a:xfrm>
          <a:off x="3102429" y="5388429"/>
          <a:ext cx="123825" cy="1050471"/>
        </a:xfrm>
        <a:prstGeom prst="rect">
          <a:avLst/>
        </a:prstGeom>
        <a:noFill/>
        <a:ln w="9525">
          <a:noFill/>
          <a:miter lim="800000"/>
          <a:headEnd/>
          <a:tailEnd/>
        </a:ln>
      </xdr:spPr>
    </xdr:sp>
    <xdr:clientData/>
  </xdr:oneCellAnchor>
  <xdr:oneCellAnchor>
    <xdr:from>
      <xdr:col>7</xdr:col>
      <xdr:colOff>0</xdr:colOff>
      <xdr:row>12</xdr:row>
      <xdr:rowOff>0</xdr:rowOff>
    </xdr:from>
    <xdr:ext cx="123825" cy="1050471"/>
    <xdr:sp macro="" textlink="">
      <xdr:nvSpPr>
        <xdr:cNvPr id="846" name="Text Box 209">
          <a:extLst>
            <a:ext uri="{FF2B5EF4-FFF2-40B4-BE49-F238E27FC236}">
              <a16:creationId xmlns:a16="http://schemas.microsoft.com/office/drawing/2014/main" id="{00000000-0008-0000-0F00-00004E030000}"/>
            </a:ext>
          </a:extLst>
        </xdr:cNvPr>
        <xdr:cNvSpPr txBox="1">
          <a:spLocks noChangeArrowheads="1"/>
        </xdr:cNvSpPr>
      </xdr:nvSpPr>
      <xdr:spPr bwMode="auto">
        <a:xfrm>
          <a:off x="3102429" y="5388429"/>
          <a:ext cx="123825" cy="1050471"/>
        </a:xfrm>
        <a:prstGeom prst="rect">
          <a:avLst/>
        </a:prstGeom>
        <a:noFill/>
        <a:ln w="9525">
          <a:noFill/>
          <a:miter lim="800000"/>
          <a:headEnd/>
          <a:tailEnd/>
        </a:ln>
      </xdr:spPr>
    </xdr:sp>
    <xdr:clientData/>
  </xdr:oneCellAnchor>
  <xdr:oneCellAnchor>
    <xdr:from>
      <xdr:col>7</xdr:col>
      <xdr:colOff>0</xdr:colOff>
      <xdr:row>12</xdr:row>
      <xdr:rowOff>0</xdr:rowOff>
    </xdr:from>
    <xdr:ext cx="123825" cy="1050471"/>
    <xdr:sp macro="" textlink="">
      <xdr:nvSpPr>
        <xdr:cNvPr id="847" name="Text Box 210">
          <a:extLst>
            <a:ext uri="{FF2B5EF4-FFF2-40B4-BE49-F238E27FC236}">
              <a16:creationId xmlns:a16="http://schemas.microsoft.com/office/drawing/2014/main" id="{00000000-0008-0000-0F00-00004F030000}"/>
            </a:ext>
          </a:extLst>
        </xdr:cNvPr>
        <xdr:cNvSpPr txBox="1">
          <a:spLocks noChangeArrowheads="1"/>
        </xdr:cNvSpPr>
      </xdr:nvSpPr>
      <xdr:spPr bwMode="auto">
        <a:xfrm>
          <a:off x="3102429" y="5388429"/>
          <a:ext cx="123825" cy="1050471"/>
        </a:xfrm>
        <a:prstGeom prst="rect">
          <a:avLst/>
        </a:prstGeom>
        <a:noFill/>
        <a:ln w="9525">
          <a:noFill/>
          <a:miter lim="800000"/>
          <a:headEnd/>
          <a:tailEnd/>
        </a:ln>
      </xdr:spPr>
    </xdr:sp>
    <xdr:clientData/>
  </xdr:oneCellAnchor>
  <xdr:oneCellAnchor>
    <xdr:from>
      <xdr:col>7</xdr:col>
      <xdr:colOff>0</xdr:colOff>
      <xdr:row>12</xdr:row>
      <xdr:rowOff>0</xdr:rowOff>
    </xdr:from>
    <xdr:ext cx="123825" cy="936171"/>
    <xdr:sp macro="" textlink="">
      <xdr:nvSpPr>
        <xdr:cNvPr id="848" name="Text Box 211">
          <a:extLst>
            <a:ext uri="{FF2B5EF4-FFF2-40B4-BE49-F238E27FC236}">
              <a16:creationId xmlns:a16="http://schemas.microsoft.com/office/drawing/2014/main" id="{00000000-0008-0000-0F00-000050030000}"/>
            </a:ext>
          </a:extLst>
        </xdr:cNvPr>
        <xdr:cNvSpPr txBox="1">
          <a:spLocks noChangeArrowheads="1"/>
        </xdr:cNvSpPr>
      </xdr:nvSpPr>
      <xdr:spPr bwMode="auto">
        <a:xfrm>
          <a:off x="3102429" y="5388429"/>
          <a:ext cx="123825" cy="936171"/>
        </a:xfrm>
        <a:prstGeom prst="rect">
          <a:avLst/>
        </a:prstGeom>
        <a:noFill/>
        <a:ln w="9525">
          <a:noFill/>
          <a:miter lim="800000"/>
          <a:headEnd/>
          <a:tailEnd/>
        </a:ln>
      </xdr:spPr>
    </xdr:sp>
    <xdr:clientData/>
  </xdr:oneCellAnchor>
  <xdr:oneCellAnchor>
    <xdr:from>
      <xdr:col>7</xdr:col>
      <xdr:colOff>0</xdr:colOff>
      <xdr:row>12</xdr:row>
      <xdr:rowOff>0</xdr:rowOff>
    </xdr:from>
    <xdr:ext cx="123825" cy="936171"/>
    <xdr:sp macro="" textlink="">
      <xdr:nvSpPr>
        <xdr:cNvPr id="849" name="Text Box 212">
          <a:extLst>
            <a:ext uri="{FF2B5EF4-FFF2-40B4-BE49-F238E27FC236}">
              <a16:creationId xmlns:a16="http://schemas.microsoft.com/office/drawing/2014/main" id="{00000000-0008-0000-0F00-000051030000}"/>
            </a:ext>
          </a:extLst>
        </xdr:cNvPr>
        <xdr:cNvSpPr txBox="1">
          <a:spLocks noChangeArrowheads="1"/>
        </xdr:cNvSpPr>
      </xdr:nvSpPr>
      <xdr:spPr bwMode="auto">
        <a:xfrm>
          <a:off x="3102429" y="5388429"/>
          <a:ext cx="123825" cy="936171"/>
        </a:xfrm>
        <a:prstGeom prst="rect">
          <a:avLst/>
        </a:prstGeom>
        <a:noFill/>
        <a:ln w="9525">
          <a:noFill/>
          <a:miter lim="800000"/>
          <a:headEnd/>
          <a:tailEnd/>
        </a:ln>
      </xdr:spPr>
    </xdr:sp>
    <xdr:clientData/>
  </xdr:oneCellAnchor>
  <xdr:oneCellAnchor>
    <xdr:from>
      <xdr:col>7</xdr:col>
      <xdr:colOff>0</xdr:colOff>
      <xdr:row>12</xdr:row>
      <xdr:rowOff>0</xdr:rowOff>
    </xdr:from>
    <xdr:ext cx="123825" cy="936171"/>
    <xdr:sp macro="" textlink="">
      <xdr:nvSpPr>
        <xdr:cNvPr id="850" name="Text Box 213">
          <a:extLst>
            <a:ext uri="{FF2B5EF4-FFF2-40B4-BE49-F238E27FC236}">
              <a16:creationId xmlns:a16="http://schemas.microsoft.com/office/drawing/2014/main" id="{00000000-0008-0000-0F00-000052030000}"/>
            </a:ext>
          </a:extLst>
        </xdr:cNvPr>
        <xdr:cNvSpPr txBox="1">
          <a:spLocks noChangeArrowheads="1"/>
        </xdr:cNvSpPr>
      </xdr:nvSpPr>
      <xdr:spPr bwMode="auto">
        <a:xfrm>
          <a:off x="3102429" y="5388429"/>
          <a:ext cx="123825" cy="936171"/>
        </a:xfrm>
        <a:prstGeom prst="rect">
          <a:avLst/>
        </a:prstGeom>
        <a:noFill/>
        <a:ln w="9525">
          <a:noFill/>
          <a:miter lim="800000"/>
          <a:headEnd/>
          <a:tailEnd/>
        </a:ln>
      </xdr:spPr>
    </xdr:sp>
    <xdr:clientData/>
  </xdr:oneCellAnchor>
  <xdr:oneCellAnchor>
    <xdr:from>
      <xdr:col>7</xdr:col>
      <xdr:colOff>0</xdr:colOff>
      <xdr:row>12</xdr:row>
      <xdr:rowOff>0</xdr:rowOff>
    </xdr:from>
    <xdr:ext cx="123825" cy="936171"/>
    <xdr:sp macro="" textlink="">
      <xdr:nvSpPr>
        <xdr:cNvPr id="851" name="Text Box 214">
          <a:extLst>
            <a:ext uri="{FF2B5EF4-FFF2-40B4-BE49-F238E27FC236}">
              <a16:creationId xmlns:a16="http://schemas.microsoft.com/office/drawing/2014/main" id="{00000000-0008-0000-0F00-000053030000}"/>
            </a:ext>
          </a:extLst>
        </xdr:cNvPr>
        <xdr:cNvSpPr txBox="1">
          <a:spLocks noChangeArrowheads="1"/>
        </xdr:cNvSpPr>
      </xdr:nvSpPr>
      <xdr:spPr bwMode="auto">
        <a:xfrm>
          <a:off x="3102429" y="5388429"/>
          <a:ext cx="123825" cy="936171"/>
        </a:xfrm>
        <a:prstGeom prst="rect">
          <a:avLst/>
        </a:prstGeom>
        <a:noFill/>
        <a:ln w="9525">
          <a:noFill/>
          <a:miter lim="800000"/>
          <a:headEnd/>
          <a:tailEnd/>
        </a:ln>
      </xdr:spPr>
    </xdr:sp>
    <xdr:clientData/>
  </xdr:oneCellAnchor>
  <xdr:oneCellAnchor>
    <xdr:from>
      <xdr:col>7</xdr:col>
      <xdr:colOff>0</xdr:colOff>
      <xdr:row>18</xdr:row>
      <xdr:rowOff>0</xdr:rowOff>
    </xdr:from>
    <xdr:ext cx="123825" cy="677636"/>
    <xdr:sp macro="" textlink="">
      <xdr:nvSpPr>
        <xdr:cNvPr id="852" name="Text Box 216">
          <a:extLst>
            <a:ext uri="{FF2B5EF4-FFF2-40B4-BE49-F238E27FC236}">
              <a16:creationId xmlns:a16="http://schemas.microsoft.com/office/drawing/2014/main" id="{00000000-0008-0000-0F00-000054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7</xdr:col>
      <xdr:colOff>0</xdr:colOff>
      <xdr:row>18</xdr:row>
      <xdr:rowOff>0</xdr:rowOff>
    </xdr:from>
    <xdr:ext cx="123825" cy="677636"/>
    <xdr:sp macro="" textlink="">
      <xdr:nvSpPr>
        <xdr:cNvPr id="853" name="Text Box 217">
          <a:extLst>
            <a:ext uri="{FF2B5EF4-FFF2-40B4-BE49-F238E27FC236}">
              <a16:creationId xmlns:a16="http://schemas.microsoft.com/office/drawing/2014/main" id="{00000000-0008-0000-0F00-000055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7</xdr:col>
      <xdr:colOff>0</xdr:colOff>
      <xdr:row>18</xdr:row>
      <xdr:rowOff>0</xdr:rowOff>
    </xdr:from>
    <xdr:ext cx="123825" cy="677636"/>
    <xdr:sp macro="" textlink="">
      <xdr:nvSpPr>
        <xdr:cNvPr id="854" name="Text Box 218">
          <a:extLst>
            <a:ext uri="{FF2B5EF4-FFF2-40B4-BE49-F238E27FC236}">
              <a16:creationId xmlns:a16="http://schemas.microsoft.com/office/drawing/2014/main" id="{00000000-0008-0000-0F00-000056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7</xdr:col>
      <xdr:colOff>0</xdr:colOff>
      <xdr:row>18</xdr:row>
      <xdr:rowOff>0</xdr:rowOff>
    </xdr:from>
    <xdr:ext cx="123825" cy="677636"/>
    <xdr:sp macro="" textlink="">
      <xdr:nvSpPr>
        <xdr:cNvPr id="855" name="Text Box 219">
          <a:extLst>
            <a:ext uri="{FF2B5EF4-FFF2-40B4-BE49-F238E27FC236}">
              <a16:creationId xmlns:a16="http://schemas.microsoft.com/office/drawing/2014/main" id="{00000000-0008-0000-0F00-000057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7</xdr:col>
      <xdr:colOff>0</xdr:colOff>
      <xdr:row>18</xdr:row>
      <xdr:rowOff>0</xdr:rowOff>
    </xdr:from>
    <xdr:ext cx="123825" cy="677636"/>
    <xdr:sp macro="" textlink="">
      <xdr:nvSpPr>
        <xdr:cNvPr id="856" name="Text Box 220">
          <a:extLst>
            <a:ext uri="{FF2B5EF4-FFF2-40B4-BE49-F238E27FC236}">
              <a16:creationId xmlns:a16="http://schemas.microsoft.com/office/drawing/2014/main" id="{00000000-0008-0000-0F00-000058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7</xdr:col>
      <xdr:colOff>0</xdr:colOff>
      <xdr:row>18</xdr:row>
      <xdr:rowOff>0</xdr:rowOff>
    </xdr:from>
    <xdr:ext cx="123825" cy="677636"/>
    <xdr:sp macro="" textlink="">
      <xdr:nvSpPr>
        <xdr:cNvPr id="857" name="Text Box 221">
          <a:extLst>
            <a:ext uri="{FF2B5EF4-FFF2-40B4-BE49-F238E27FC236}">
              <a16:creationId xmlns:a16="http://schemas.microsoft.com/office/drawing/2014/main" id="{00000000-0008-0000-0F00-000059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7</xdr:col>
      <xdr:colOff>0</xdr:colOff>
      <xdr:row>18</xdr:row>
      <xdr:rowOff>0</xdr:rowOff>
    </xdr:from>
    <xdr:ext cx="123825" cy="677636"/>
    <xdr:sp macro="" textlink="">
      <xdr:nvSpPr>
        <xdr:cNvPr id="858" name="Text Box 222">
          <a:extLst>
            <a:ext uri="{FF2B5EF4-FFF2-40B4-BE49-F238E27FC236}">
              <a16:creationId xmlns:a16="http://schemas.microsoft.com/office/drawing/2014/main" id="{00000000-0008-0000-0F00-00005A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7</xdr:col>
      <xdr:colOff>0</xdr:colOff>
      <xdr:row>18</xdr:row>
      <xdr:rowOff>0</xdr:rowOff>
    </xdr:from>
    <xdr:ext cx="123825" cy="677636"/>
    <xdr:sp macro="" textlink="">
      <xdr:nvSpPr>
        <xdr:cNvPr id="859" name="Text Box 223">
          <a:extLst>
            <a:ext uri="{FF2B5EF4-FFF2-40B4-BE49-F238E27FC236}">
              <a16:creationId xmlns:a16="http://schemas.microsoft.com/office/drawing/2014/main" id="{00000000-0008-0000-0F00-00005B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7</xdr:col>
      <xdr:colOff>0</xdr:colOff>
      <xdr:row>18</xdr:row>
      <xdr:rowOff>0</xdr:rowOff>
    </xdr:from>
    <xdr:ext cx="114300" cy="678997"/>
    <xdr:sp macro="" textlink="">
      <xdr:nvSpPr>
        <xdr:cNvPr id="860" name="Text Box 224">
          <a:extLst>
            <a:ext uri="{FF2B5EF4-FFF2-40B4-BE49-F238E27FC236}">
              <a16:creationId xmlns:a16="http://schemas.microsoft.com/office/drawing/2014/main" id="{00000000-0008-0000-0F00-00005C030000}"/>
            </a:ext>
          </a:extLst>
        </xdr:cNvPr>
        <xdr:cNvSpPr txBox="1">
          <a:spLocks noChangeArrowheads="1"/>
        </xdr:cNvSpPr>
      </xdr:nvSpPr>
      <xdr:spPr bwMode="auto">
        <a:xfrm>
          <a:off x="3102429" y="9225643"/>
          <a:ext cx="114300" cy="678997"/>
        </a:xfrm>
        <a:prstGeom prst="rect">
          <a:avLst/>
        </a:prstGeom>
        <a:noFill/>
        <a:ln w="9525">
          <a:noFill/>
          <a:miter lim="800000"/>
          <a:headEnd/>
          <a:tailEnd/>
        </a:ln>
      </xdr:spPr>
    </xdr:sp>
    <xdr:clientData/>
  </xdr:oneCellAnchor>
  <xdr:oneCellAnchor>
    <xdr:from>
      <xdr:col>7</xdr:col>
      <xdr:colOff>0</xdr:colOff>
      <xdr:row>18</xdr:row>
      <xdr:rowOff>0</xdr:rowOff>
    </xdr:from>
    <xdr:ext cx="123825" cy="678997"/>
    <xdr:sp macro="" textlink="">
      <xdr:nvSpPr>
        <xdr:cNvPr id="861" name="Text Box 226">
          <a:extLst>
            <a:ext uri="{FF2B5EF4-FFF2-40B4-BE49-F238E27FC236}">
              <a16:creationId xmlns:a16="http://schemas.microsoft.com/office/drawing/2014/main" id="{00000000-0008-0000-0F00-00005D030000}"/>
            </a:ext>
          </a:extLst>
        </xdr:cNvPr>
        <xdr:cNvSpPr txBox="1">
          <a:spLocks noChangeArrowheads="1"/>
        </xdr:cNvSpPr>
      </xdr:nvSpPr>
      <xdr:spPr bwMode="auto">
        <a:xfrm>
          <a:off x="3102429" y="9225643"/>
          <a:ext cx="123825" cy="678997"/>
        </a:xfrm>
        <a:prstGeom prst="rect">
          <a:avLst/>
        </a:prstGeom>
        <a:noFill/>
        <a:ln w="9525">
          <a:noFill/>
          <a:miter lim="800000"/>
          <a:headEnd/>
          <a:tailEnd/>
        </a:ln>
      </xdr:spPr>
    </xdr:sp>
    <xdr:clientData/>
  </xdr:oneCellAnchor>
  <xdr:oneCellAnchor>
    <xdr:from>
      <xdr:col>7</xdr:col>
      <xdr:colOff>0</xdr:colOff>
      <xdr:row>18</xdr:row>
      <xdr:rowOff>0</xdr:rowOff>
    </xdr:from>
    <xdr:ext cx="123825" cy="678997"/>
    <xdr:sp macro="" textlink="">
      <xdr:nvSpPr>
        <xdr:cNvPr id="862" name="Text Box 227">
          <a:extLst>
            <a:ext uri="{FF2B5EF4-FFF2-40B4-BE49-F238E27FC236}">
              <a16:creationId xmlns:a16="http://schemas.microsoft.com/office/drawing/2014/main" id="{00000000-0008-0000-0F00-00005E030000}"/>
            </a:ext>
          </a:extLst>
        </xdr:cNvPr>
        <xdr:cNvSpPr txBox="1">
          <a:spLocks noChangeArrowheads="1"/>
        </xdr:cNvSpPr>
      </xdr:nvSpPr>
      <xdr:spPr bwMode="auto">
        <a:xfrm>
          <a:off x="3102429" y="9225643"/>
          <a:ext cx="123825" cy="678997"/>
        </a:xfrm>
        <a:prstGeom prst="rect">
          <a:avLst/>
        </a:prstGeom>
        <a:noFill/>
        <a:ln w="9525">
          <a:noFill/>
          <a:miter lim="800000"/>
          <a:headEnd/>
          <a:tailEnd/>
        </a:ln>
      </xdr:spPr>
    </xdr:sp>
    <xdr:clientData/>
  </xdr:oneCellAnchor>
  <xdr:oneCellAnchor>
    <xdr:from>
      <xdr:col>7</xdr:col>
      <xdr:colOff>0</xdr:colOff>
      <xdr:row>18</xdr:row>
      <xdr:rowOff>0</xdr:rowOff>
    </xdr:from>
    <xdr:ext cx="123825" cy="678997"/>
    <xdr:sp macro="" textlink="">
      <xdr:nvSpPr>
        <xdr:cNvPr id="863" name="Text Box 228">
          <a:extLst>
            <a:ext uri="{FF2B5EF4-FFF2-40B4-BE49-F238E27FC236}">
              <a16:creationId xmlns:a16="http://schemas.microsoft.com/office/drawing/2014/main" id="{00000000-0008-0000-0F00-00005F030000}"/>
            </a:ext>
          </a:extLst>
        </xdr:cNvPr>
        <xdr:cNvSpPr txBox="1">
          <a:spLocks noChangeArrowheads="1"/>
        </xdr:cNvSpPr>
      </xdr:nvSpPr>
      <xdr:spPr bwMode="auto">
        <a:xfrm>
          <a:off x="3102429" y="9225643"/>
          <a:ext cx="123825" cy="678997"/>
        </a:xfrm>
        <a:prstGeom prst="rect">
          <a:avLst/>
        </a:prstGeom>
        <a:noFill/>
        <a:ln w="9525">
          <a:noFill/>
          <a:miter lim="800000"/>
          <a:headEnd/>
          <a:tailEnd/>
        </a:ln>
      </xdr:spPr>
    </xdr:sp>
    <xdr:clientData/>
  </xdr:oneCellAnchor>
  <xdr:oneCellAnchor>
    <xdr:from>
      <xdr:col>7</xdr:col>
      <xdr:colOff>0</xdr:colOff>
      <xdr:row>18</xdr:row>
      <xdr:rowOff>0</xdr:rowOff>
    </xdr:from>
    <xdr:ext cx="123825" cy="678997"/>
    <xdr:sp macro="" textlink="">
      <xdr:nvSpPr>
        <xdr:cNvPr id="864" name="Text Box 229">
          <a:extLst>
            <a:ext uri="{FF2B5EF4-FFF2-40B4-BE49-F238E27FC236}">
              <a16:creationId xmlns:a16="http://schemas.microsoft.com/office/drawing/2014/main" id="{00000000-0008-0000-0F00-000060030000}"/>
            </a:ext>
          </a:extLst>
        </xdr:cNvPr>
        <xdr:cNvSpPr txBox="1">
          <a:spLocks noChangeArrowheads="1"/>
        </xdr:cNvSpPr>
      </xdr:nvSpPr>
      <xdr:spPr bwMode="auto">
        <a:xfrm>
          <a:off x="3102429" y="9225643"/>
          <a:ext cx="123825" cy="678997"/>
        </a:xfrm>
        <a:prstGeom prst="rect">
          <a:avLst/>
        </a:prstGeom>
        <a:noFill/>
        <a:ln w="9525">
          <a:noFill/>
          <a:miter lim="800000"/>
          <a:headEnd/>
          <a:tailEnd/>
        </a:ln>
      </xdr:spPr>
    </xdr:sp>
    <xdr:clientData/>
  </xdr:oneCellAnchor>
  <xdr:oneCellAnchor>
    <xdr:from>
      <xdr:col>7</xdr:col>
      <xdr:colOff>0</xdr:colOff>
      <xdr:row>18</xdr:row>
      <xdr:rowOff>0</xdr:rowOff>
    </xdr:from>
    <xdr:ext cx="123825" cy="677636"/>
    <xdr:sp macro="" textlink="">
      <xdr:nvSpPr>
        <xdr:cNvPr id="865" name="Text Box 230">
          <a:extLst>
            <a:ext uri="{FF2B5EF4-FFF2-40B4-BE49-F238E27FC236}">
              <a16:creationId xmlns:a16="http://schemas.microsoft.com/office/drawing/2014/main" id="{00000000-0008-0000-0F00-000061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7</xdr:col>
      <xdr:colOff>0</xdr:colOff>
      <xdr:row>18</xdr:row>
      <xdr:rowOff>0</xdr:rowOff>
    </xdr:from>
    <xdr:ext cx="123825" cy="677636"/>
    <xdr:sp macro="" textlink="">
      <xdr:nvSpPr>
        <xdr:cNvPr id="866" name="Text Box 231">
          <a:extLst>
            <a:ext uri="{FF2B5EF4-FFF2-40B4-BE49-F238E27FC236}">
              <a16:creationId xmlns:a16="http://schemas.microsoft.com/office/drawing/2014/main" id="{00000000-0008-0000-0F00-000062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7</xdr:col>
      <xdr:colOff>0</xdr:colOff>
      <xdr:row>18</xdr:row>
      <xdr:rowOff>0</xdr:rowOff>
    </xdr:from>
    <xdr:ext cx="123825" cy="677636"/>
    <xdr:sp macro="" textlink="">
      <xdr:nvSpPr>
        <xdr:cNvPr id="867" name="Text Box 232">
          <a:extLst>
            <a:ext uri="{FF2B5EF4-FFF2-40B4-BE49-F238E27FC236}">
              <a16:creationId xmlns:a16="http://schemas.microsoft.com/office/drawing/2014/main" id="{00000000-0008-0000-0F00-000063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7</xdr:col>
      <xdr:colOff>0</xdr:colOff>
      <xdr:row>18</xdr:row>
      <xdr:rowOff>0</xdr:rowOff>
    </xdr:from>
    <xdr:ext cx="123825" cy="677636"/>
    <xdr:sp macro="" textlink="">
      <xdr:nvSpPr>
        <xdr:cNvPr id="868" name="Text Box 233">
          <a:extLst>
            <a:ext uri="{FF2B5EF4-FFF2-40B4-BE49-F238E27FC236}">
              <a16:creationId xmlns:a16="http://schemas.microsoft.com/office/drawing/2014/main" id="{00000000-0008-0000-0F00-000064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7</xdr:col>
      <xdr:colOff>0</xdr:colOff>
      <xdr:row>18</xdr:row>
      <xdr:rowOff>0</xdr:rowOff>
    </xdr:from>
    <xdr:ext cx="123825" cy="677636"/>
    <xdr:sp macro="" textlink="">
      <xdr:nvSpPr>
        <xdr:cNvPr id="869" name="Text Box 234">
          <a:extLst>
            <a:ext uri="{FF2B5EF4-FFF2-40B4-BE49-F238E27FC236}">
              <a16:creationId xmlns:a16="http://schemas.microsoft.com/office/drawing/2014/main" id="{00000000-0008-0000-0F00-000065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9</xdr:col>
      <xdr:colOff>0</xdr:colOff>
      <xdr:row>11</xdr:row>
      <xdr:rowOff>0</xdr:rowOff>
    </xdr:from>
    <xdr:ext cx="123825" cy="1040946"/>
    <xdr:sp macro="" textlink="">
      <xdr:nvSpPr>
        <xdr:cNvPr id="870" name="Text Box 178">
          <a:extLst>
            <a:ext uri="{FF2B5EF4-FFF2-40B4-BE49-F238E27FC236}">
              <a16:creationId xmlns:a16="http://schemas.microsoft.com/office/drawing/2014/main" id="{00000000-0008-0000-0F00-000066030000}"/>
            </a:ext>
          </a:extLst>
        </xdr:cNvPr>
        <xdr:cNvSpPr txBox="1">
          <a:spLocks noChangeArrowheads="1"/>
        </xdr:cNvSpPr>
      </xdr:nvSpPr>
      <xdr:spPr bwMode="auto">
        <a:xfrm>
          <a:off x="6572250" y="4966607"/>
          <a:ext cx="123825" cy="1040946"/>
        </a:xfrm>
        <a:prstGeom prst="rect">
          <a:avLst/>
        </a:prstGeom>
        <a:noFill/>
        <a:ln w="9525">
          <a:noFill/>
          <a:miter lim="800000"/>
          <a:headEnd/>
          <a:tailEnd/>
        </a:ln>
      </xdr:spPr>
    </xdr:sp>
    <xdr:clientData/>
  </xdr:oneCellAnchor>
  <xdr:oneCellAnchor>
    <xdr:from>
      <xdr:col>9</xdr:col>
      <xdr:colOff>0</xdr:colOff>
      <xdr:row>11</xdr:row>
      <xdr:rowOff>0</xdr:rowOff>
    </xdr:from>
    <xdr:ext cx="123825" cy="1040946"/>
    <xdr:sp macro="" textlink="">
      <xdr:nvSpPr>
        <xdr:cNvPr id="871" name="Text Box 180">
          <a:extLst>
            <a:ext uri="{FF2B5EF4-FFF2-40B4-BE49-F238E27FC236}">
              <a16:creationId xmlns:a16="http://schemas.microsoft.com/office/drawing/2014/main" id="{00000000-0008-0000-0F00-000067030000}"/>
            </a:ext>
          </a:extLst>
        </xdr:cNvPr>
        <xdr:cNvSpPr txBox="1">
          <a:spLocks noChangeArrowheads="1"/>
        </xdr:cNvSpPr>
      </xdr:nvSpPr>
      <xdr:spPr bwMode="auto">
        <a:xfrm>
          <a:off x="5619750" y="4966607"/>
          <a:ext cx="123825" cy="1040946"/>
        </a:xfrm>
        <a:prstGeom prst="rect">
          <a:avLst/>
        </a:prstGeom>
        <a:noFill/>
        <a:ln w="9525">
          <a:noFill/>
          <a:miter lim="800000"/>
          <a:headEnd/>
          <a:tailEnd/>
        </a:ln>
      </xdr:spPr>
    </xdr:sp>
    <xdr:clientData/>
  </xdr:oneCellAnchor>
  <xdr:oneCellAnchor>
    <xdr:from>
      <xdr:col>9</xdr:col>
      <xdr:colOff>0</xdr:colOff>
      <xdr:row>11</xdr:row>
      <xdr:rowOff>0</xdr:rowOff>
    </xdr:from>
    <xdr:ext cx="123825" cy="1040946"/>
    <xdr:sp macro="" textlink="">
      <xdr:nvSpPr>
        <xdr:cNvPr id="872" name="Text Box 181">
          <a:extLst>
            <a:ext uri="{FF2B5EF4-FFF2-40B4-BE49-F238E27FC236}">
              <a16:creationId xmlns:a16="http://schemas.microsoft.com/office/drawing/2014/main" id="{00000000-0008-0000-0F00-000068030000}"/>
            </a:ext>
          </a:extLst>
        </xdr:cNvPr>
        <xdr:cNvSpPr txBox="1">
          <a:spLocks noChangeArrowheads="1"/>
        </xdr:cNvSpPr>
      </xdr:nvSpPr>
      <xdr:spPr bwMode="auto">
        <a:xfrm>
          <a:off x="5619750" y="4966607"/>
          <a:ext cx="123825" cy="1040946"/>
        </a:xfrm>
        <a:prstGeom prst="rect">
          <a:avLst/>
        </a:prstGeom>
        <a:noFill/>
        <a:ln w="9525">
          <a:noFill/>
          <a:miter lim="800000"/>
          <a:headEnd/>
          <a:tailEnd/>
        </a:ln>
      </xdr:spPr>
    </xdr:sp>
    <xdr:clientData/>
  </xdr:oneCellAnchor>
  <xdr:oneCellAnchor>
    <xdr:from>
      <xdr:col>9</xdr:col>
      <xdr:colOff>0</xdr:colOff>
      <xdr:row>11</xdr:row>
      <xdr:rowOff>0</xdr:rowOff>
    </xdr:from>
    <xdr:ext cx="123825" cy="1040946"/>
    <xdr:sp macro="" textlink="">
      <xdr:nvSpPr>
        <xdr:cNvPr id="873" name="Text Box 182">
          <a:extLst>
            <a:ext uri="{FF2B5EF4-FFF2-40B4-BE49-F238E27FC236}">
              <a16:creationId xmlns:a16="http://schemas.microsoft.com/office/drawing/2014/main" id="{00000000-0008-0000-0F00-000069030000}"/>
            </a:ext>
          </a:extLst>
        </xdr:cNvPr>
        <xdr:cNvSpPr txBox="1">
          <a:spLocks noChangeArrowheads="1"/>
        </xdr:cNvSpPr>
      </xdr:nvSpPr>
      <xdr:spPr bwMode="auto">
        <a:xfrm>
          <a:off x="5619750" y="4966607"/>
          <a:ext cx="123825" cy="1040946"/>
        </a:xfrm>
        <a:prstGeom prst="rect">
          <a:avLst/>
        </a:prstGeom>
        <a:noFill/>
        <a:ln w="9525">
          <a:noFill/>
          <a:miter lim="800000"/>
          <a:headEnd/>
          <a:tailEnd/>
        </a:ln>
      </xdr:spPr>
    </xdr:sp>
    <xdr:clientData/>
  </xdr:oneCellAnchor>
  <xdr:oneCellAnchor>
    <xdr:from>
      <xdr:col>9</xdr:col>
      <xdr:colOff>0</xdr:colOff>
      <xdr:row>11</xdr:row>
      <xdr:rowOff>0</xdr:rowOff>
    </xdr:from>
    <xdr:ext cx="123825" cy="1040946"/>
    <xdr:sp macro="" textlink="">
      <xdr:nvSpPr>
        <xdr:cNvPr id="874" name="Text Box 183">
          <a:extLst>
            <a:ext uri="{FF2B5EF4-FFF2-40B4-BE49-F238E27FC236}">
              <a16:creationId xmlns:a16="http://schemas.microsoft.com/office/drawing/2014/main" id="{00000000-0008-0000-0F00-00006A030000}"/>
            </a:ext>
          </a:extLst>
        </xdr:cNvPr>
        <xdr:cNvSpPr txBox="1">
          <a:spLocks noChangeArrowheads="1"/>
        </xdr:cNvSpPr>
      </xdr:nvSpPr>
      <xdr:spPr bwMode="auto">
        <a:xfrm>
          <a:off x="5619750" y="4966607"/>
          <a:ext cx="123825" cy="1040946"/>
        </a:xfrm>
        <a:prstGeom prst="rect">
          <a:avLst/>
        </a:prstGeom>
        <a:noFill/>
        <a:ln w="9525">
          <a:noFill/>
          <a:miter lim="800000"/>
          <a:headEnd/>
          <a:tailEnd/>
        </a:ln>
      </xdr:spPr>
    </xdr:sp>
    <xdr:clientData/>
  </xdr:oneCellAnchor>
  <xdr:oneCellAnchor>
    <xdr:from>
      <xdr:col>9</xdr:col>
      <xdr:colOff>0</xdr:colOff>
      <xdr:row>11</xdr:row>
      <xdr:rowOff>0</xdr:rowOff>
    </xdr:from>
    <xdr:ext cx="123825" cy="1040946"/>
    <xdr:sp macro="" textlink="">
      <xdr:nvSpPr>
        <xdr:cNvPr id="875" name="Text Box 184">
          <a:extLst>
            <a:ext uri="{FF2B5EF4-FFF2-40B4-BE49-F238E27FC236}">
              <a16:creationId xmlns:a16="http://schemas.microsoft.com/office/drawing/2014/main" id="{00000000-0008-0000-0F00-00006B030000}"/>
            </a:ext>
          </a:extLst>
        </xdr:cNvPr>
        <xdr:cNvSpPr txBox="1">
          <a:spLocks noChangeArrowheads="1"/>
        </xdr:cNvSpPr>
      </xdr:nvSpPr>
      <xdr:spPr bwMode="auto">
        <a:xfrm>
          <a:off x="5619750" y="4966607"/>
          <a:ext cx="123825" cy="1040946"/>
        </a:xfrm>
        <a:prstGeom prst="rect">
          <a:avLst/>
        </a:prstGeom>
        <a:noFill/>
        <a:ln w="9525">
          <a:noFill/>
          <a:miter lim="800000"/>
          <a:headEnd/>
          <a:tailEnd/>
        </a:ln>
      </xdr:spPr>
    </xdr:sp>
    <xdr:clientData/>
  </xdr:oneCellAnchor>
  <xdr:oneCellAnchor>
    <xdr:from>
      <xdr:col>9</xdr:col>
      <xdr:colOff>0</xdr:colOff>
      <xdr:row>11</xdr:row>
      <xdr:rowOff>0</xdr:rowOff>
    </xdr:from>
    <xdr:ext cx="123825" cy="1040946"/>
    <xdr:sp macro="" textlink="">
      <xdr:nvSpPr>
        <xdr:cNvPr id="876" name="Text Box 185">
          <a:extLst>
            <a:ext uri="{FF2B5EF4-FFF2-40B4-BE49-F238E27FC236}">
              <a16:creationId xmlns:a16="http://schemas.microsoft.com/office/drawing/2014/main" id="{00000000-0008-0000-0F00-00006C030000}"/>
            </a:ext>
          </a:extLst>
        </xdr:cNvPr>
        <xdr:cNvSpPr txBox="1">
          <a:spLocks noChangeArrowheads="1"/>
        </xdr:cNvSpPr>
      </xdr:nvSpPr>
      <xdr:spPr bwMode="auto">
        <a:xfrm>
          <a:off x="5619750" y="4966607"/>
          <a:ext cx="123825" cy="1040946"/>
        </a:xfrm>
        <a:prstGeom prst="rect">
          <a:avLst/>
        </a:prstGeom>
        <a:noFill/>
        <a:ln w="9525">
          <a:noFill/>
          <a:miter lim="800000"/>
          <a:headEnd/>
          <a:tailEnd/>
        </a:ln>
      </xdr:spPr>
    </xdr:sp>
    <xdr:clientData/>
  </xdr:oneCellAnchor>
  <xdr:oneCellAnchor>
    <xdr:from>
      <xdr:col>9</xdr:col>
      <xdr:colOff>0</xdr:colOff>
      <xdr:row>11</xdr:row>
      <xdr:rowOff>0</xdr:rowOff>
    </xdr:from>
    <xdr:ext cx="114300" cy="1129393"/>
    <xdr:sp macro="" textlink="">
      <xdr:nvSpPr>
        <xdr:cNvPr id="877" name="Text Box 186">
          <a:extLst>
            <a:ext uri="{FF2B5EF4-FFF2-40B4-BE49-F238E27FC236}">
              <a16:creationId xmlns:a16="http://schemas.microsoft.com/office/drawing/2014/main" id="{00000000-0008-0000-0F00-00006D030000}"/>
            </a:ext>
          </a:extLst>
        </xdr:cNvPr>
        <xdr:cNvSpPr txBox="1">
          <a:spLocks noChangeArrowheads="1"/>
        </xdr:cNvSpPr>
      </xdr:nvSpPr>
      <xdr:spPr bwMode="auto">
        <a:xfrm>
          <a:off x="5619750" y="4966607"/>
          <a:ext cx="114300" cy="1129393"/>
        </a:xfrm>
        <a:prstGeom prst="rect">
          <a:avLst/>
        </a:prstGeom>
        <a:noFill/>
        <a:ln w="9525">
          <a:noFill/>
          <a:miter lim="800000"/>
          <a:headEnd/>
          <a:tailEnd/>
        </a:ln>
      </xdr:spPr>
    </xdr:sp>
    <xdr:clientData/>
  </xdr:oneCellAnchor>
  <xdr:oneCellAnchor>
    <xdr:from>
      <xdr:col>9</xdr:col>
      <xdr:colOff>0</xdr:colOff>
      <xdr:row>11</xdr:row>
      <xdr:rowOff>0</xdr:rowOff>
    </xdr:from>
    <xdr:ext cx="114300" cy="1129393"/>
    <xdr:sp macro="" textlink="">
      <xdr:nvSpPr>
        <xdr:cNvPr id="878" name="Text Box 187">
          <a:extLst>
            <a:ext uri="{FF2B5EF4-FFF2-40B4-BE49-F238E27FC236}">
              <a16:creationId xmlns:a16="http://schemas.microsoft.com/office/drawing/2014/main" id="{00000000-0008-0000-0F00-00006E030000}"/>
            </a:ext>
          </a:extLst>
        </xdr:cNvPr>
        <xdr:cNvSpPr txBox="1">
          <a:spLocks noChangeArrowheads="1"/>
        </xdr:cNvSpPr>
      </xdr:nvSpPr>
      <xdr:spPr bwMode="auto">
        <a:xfrm>
          <a:off x="5619750" y="4966607"/>
          <a:ext cx="114300" cy="1129393"/>
        </a:xfrm>
        <a:prstGeom prst="rect">
          <a:avLst/>
        </a:prstGeom>
        <a:noFill/>
        <a:ln w="9525">
          <a:noFill/>
          <a:miter lim="800000"/>
          <a:headEnd/>
          <a:tailEnd/>
        </a:ln>
      </xdr:spPr>
    </xdr:sp>
    <xdr:clientData/>
  </xdr:oneCellAnchor>
  <xdr:oneCellAnchor>
    <xdr:from>
      <xdr:col>9</xdr:col>
      <xdr:colOff>0</xdr:colOff>
      <xdr:row>11</xdr:row>
      <xdr:rowOff>0</xdr:rowOff>
    </xdr:from>
    <xdr:ext cx="123825" cy="1129393"/>
    <xdr:sp macro="" textlink="">
      <xdr:nvSpPr>
        <xdr:cNvPr id="879" name="Text Box 188">
          <a:extLst>
            <a:ext uri="{FF2B5EF4-FFF2-40B4-BE49-F238E27FC236}">
              <a16:creationId xmlns:a16="http://schemas.microsoft.com/office/drawing/2014/main" id="{00000000-0008-0000-0F00-00006F030000}"/>
            </a:ext>
          </a:extLst>
        </xdr:cNvPr>
        <xdr:cNvSpPr txBox="1">
          <a:spLocks noChangeArrowheads="1"/>
        </xdr:cNvSpPr>
      </xdr:nvSpPr>
      <xdr:spPr bwMode="auto">
        <a:xfrm>
          <a:off x="5619750" y="4966607"/>
          <a:ext cx="123825" cy="1129393"/>
        </a:xfrm>
        <a:prstGeom prst="rect">
          <a:avLst/>
        </a:prstGeom>
        <a:noFill/>
        <a:ln w="9525">
          <a:noFill/>
          <a:miter lim="800000"/>
          <a:headEnd/>
          <a:tailEnd/>
        </a:ln>
      </xdr:spPr>
    </xdr:sp>
    <xdr:clientData/>
  </xdr:oneCellAnchor>
  <xdr:oneCellAnchor>
    <xdr:from>
      <xdr:col>9</xdr:col>
      <xdr:colOff>0</xdr:colOff>
      <xdr:row>11</xdr:row>
      <xdr:rowOff>0</xdr:rowOff>
    </xdr:from>
    <xdr:ext cx="123825" cy="1129393"/>
    <xdr:sp macro="" textlink="">
      <xdr:nvSpPr>
        <xdr:cNvPr id="880" name="Text Box 189">
          <a:extLst>
            <a:ext uri="{FF2B5EF4-FFF2-40B4-BE49-F238E27FC236}">
              <a16:creationId xmlns:a16="http://schemas.microsoft.com/office/drawing/2014/main" id="{00000000-0008-0000-0F00-000070030000}"/>
            </a:ext>
          </a:extLst>
        </xdr:cNvPr>
        <xdr:cNvSpPr txBox="1">
          <a:spLocks noChangeArrowheads="1"/>
        </xdr:cNvSpPr>
      </xdr:nvSpPr>
      <xdr:spPr bwMode="auto">
        <a:xfrm>
          <a:off x="5619750" y="4966607"/>
          <a:ext cx="123825" cy="1129393"/>
        </a:xfrm>
        <a:prstGeom prst="rect">
          <a:avLst/>
        </a:prstGeom>
        <a:noFill/>
        <a:ln w="9525">
          <a:noFill/>
          <a:miter lim="800000"/>
          <a:headEnd/>
          <a:tailEnd/>
        </a:ln>
      </xdr:spPr>
    </xdr:sp>
    <xdr:clientData/>
  </xdr:oneCellAnchor>
  <xdr:oneCellAnchor>
    <xdr:from>
      <xdr:col>9</xdr:col>
      <xdr:colOff>0</xdr:colOff>
      <xdr:row>11</xdr:row>
      <xdr:rowOff>0</xdr:rowOff>
    </xdr:from>
    <xdr:ext cx="123825" cy="1129393"/>
    <xdr:sp macro="" textlink="">
      <xdr:nvSpPr>
        <xdr:cNvPr id="881" name="Text Box 190">
          <a:extLst>
            <a:ext uri="{FF2B5EF4-FFF2-40B4-BE49-F238E27FC236}">
              <a16:creationId xmlns:a16="http://schemas.microsoft.com/office/drawing/2014/main" id="{00000000-0008-0000-0F00-000071030000}"/>
            </a:ext>
          </a:extLst>
        </xdr:cNvPr>
        <xdr:cNvSpPr txBox="1">
          <a:spLocks noChangeArrowheads="1"/>
        </xdr:cNvSpPr>
      </xdr:nvSpPr>
      <xdr:spPr bwMode="auto">
        <a:xfrm>
          <a:off x="5619750" y="4966607"/>
          <a:ext cx="123825" cy="1129393"/>
        </a:xfrm>
        <a:prstGeom prst="rect">
          <a:avLst/>
        </a:prstGeom>
        <a:noFill/>
        <a:ln w="9525">
          <a:noFill/>
          <a:miter lim="800000"/>
          <a:headEnd/>
          <a:tailEnd/>
        </a:ln>
      </xdr:spPr>
    </xdr:sp>
    <xdr:clientData/>
  </xdr:oneCellAnchor>
  <xdr:oneCellAnchor>
    <xdr:from>
      <xdr:col>9</xdr:col>
      <xdr:colOff>0</xdr:colOff>
      <xdr:row>11</xdr:row>
      <xdr:rowOff>0</xdr:rowOff>
    </xdr:from>
    <xdr:ext cx="123825" cy="1129393"/>
    <xdr:sp macro="" textlink="">
      <xdr:nvSpPr>
        <xdr:cNvPr id="882" name="Text Box 191">
          <a:extLst>
            <a:ext uri="{FF2B5EF4-FFF2-40B4-BE49-F238E27FC236}">
              <a16:creationId xmlns:a16="http://schemas.microsoft.com/office/drawing/2014/main" id="{00000000-0008-0000-0F00-000072030000}"/>
            </a:ext>
          </a:extLst>
        </xdr:cNvPr>
        <xdr:cNvSpPr txBox="1">
          <a:spLocks noChangeArrowheads="1"/>
        </xdr:cNvSpPr>
      </xdr:nvSpPr>
      <xdr:spPr bwMode="auto">
        <a:xfrm>
          <a:off x="5619750" y="4966607"/>
          <a:ext cx="123825" cy="1129393"/>
        </a:xfrm>
        <a:prstGeom prst="rect">
          <a:avLst/>
        </a:prstGeom>
        <a:noFill/>
        <a:ln w="9525">
          <a:noFill/>
          <a:miter lim="800000"/>
          <a:headEnd/>
          <a:tailEnd/>
        </a:ln>
      </xdr:spPr>
    </xdr:sp>
    <xdr:clientData/>
  </xdr:oneCellAnchor>
  <xdr:oneCellAnchor>
    <xdr:from>
      <xdr:col>9</xdr:col>
      <xdr:colOff>0</xdr:colOff>
      <xdr:row>11</xdr:row>
      <xdr:rowOff>0</xdr:rowOff>
    </xdr:from>
    <xdr:ext cx="123825" cy="1040946"/>
    <xdr:sp macro="" textlink="">
      <xdr:nvSpPr>
        <xdr:cNvPr id="883" name="Text Box 192">
          <a:extLst>
            <a:ext uri="{FF2B5EF4-FFF2-40B4-BE49-F238E27FC236}">
              <a16:creationId xmlns:a16="http://schemas.microsoft.com/office/drawing/2014/main" id="{00000000-0008-0000-0F00-000073030000}"/>
            </a:ext>
          </a:extLst>
        </xdr:cNvPr>
        <xdr:cNvSpPr txBox="1">
          <a:spLocks noChangeArrowheads="1"/>
        </xdr:cNvSpPr>
      </xdr:nvSpPr>
      <xdr:spPr bwMode="auto">
        <a:xfrm>
          <a:off x="5619750" y="4966607"/>
          <a:ext cx="123825" cy="1040946"/>
        </a:xfrm>
        <a:prstGeom prst="rect">
          <a:avLst/>
        </a:prstGeom>
        <a:noFill/>
        <a:ln w="9525">
          <a:noFill/>
          <a:miter lim="800000"/>
          <a:headEnd/>
          <a:tailEnd/>
        </a:ln>
      </xdr:spPr>
    </xdr:sp>
    <xdr:clientData/>
  </xdr:oneCellAnchor>
  <xdr:oneCellAnchor>
    <xdr:from>
      <xdr:col>9</xdr:col>
      <xdr:colOff>0</xdr:colOff>
      <xdr:row>11</xdr:row>
      <xdr:rowOff>0</xdr:rowOff>
    </xdr:from>
    <xdr:ext cx="123825" cy="1040946"/>
    <xdr:sp macro="" textlink="">
      <xdr:nvSpPr>
        <xdr:cNvPr id="884" name="Text Box 193">
          <a:extLst>
            <a:ext uri="{FF2B5EF4-FFF2-40B4-BE49-F238E27FC236}">
              <a16:creationId xmlns:a16="http://schemas.microsoft.com/office/drawing/2014/main" id="{00000000-0008-0000-0F00-000074030000}"/>
            </a:ext>
          </a:extLst>
        </xdr:cNvPr>
        <xdr:cNvSpPr txBox="1">
          <a:spLocks noChangeArrowheads="1"/>
        </xdr:cNvSpPr>
      </xdr:nvSpPr>
      <xdr:spPr bwMode="auto">
        <a:xfrm>
          <a:off x="5619750" y="4966607"/>
          <a:ext cx="123825" cy="1040946"/>
        </a:xfrm>
        <a:prstGeom prst="rect">
          <a:avLst/>
        </a:prstGeom>
        <a:noFill/>
        <a:ln w="9525">
          <a:noFill/>
          <a:miter lim="800000"/>
          <a:headEnd/>
          <a:tailEnd/>
        </a:ln>
      </xdr:spPr>
    </xdr:sp>
    <xdr:clientData/>
  </xdr:oneCellAnchor>
  <xdr:oneCellAnchor>
    <xdr:from>
      <xdr:col>9</xdr:col>
      <xdr:colOff>0</xdr:colOff>
      <xdr:row>11</xdr:row>
      <xdr:rowOff>0</xdr:rowOff>
    </xdr:from>
    <xdr:ext cx="123825" cy="1040946"/>
    <xdr:sp macro="" textlink="">
      <xdr:nvSpPr>
        <xdr:cNvPr id="885" name="Text Box 194">
          <a:extLst>
            <a:ext uri="{FF2B5EF4-FFF2-40B4-BE49-F238E27FC236}">
              <a16:creationId xmlns:a16="http://schemas.microsoft.com/office/drawing/2014/main" id="{00000000-0008-0000-0F00-000075030000}"/>
            </a:ext>
          </a:extLst>
        </xdr:cNvPr>
        <xdr:cNvSpPr txBox="1">
          <a:spLocks noChangeArrowheads="1"/>
        </xdr:cNvSpPr>
      </xdr:nvSpPr>
      <xdr:spPr bwMode="auto">
        <a:xfrm>
          <a:off x="5619750" y="4966607"/>
          <a:ext cx="123825" cy="1040946"/>
        </a:xfrm>
        <a:prstGeom prst="rect">
          <a:avLst/>
        </a:prstGeom>
        <a:noFill/>
        <a:ln w="9525">
          <a:noFill/>
          <a:miter lim="800000"/>
          <a:headEnd/>
          <a:tailEnd/>
        </a:ln>
      </xdr:spPr>
    </xdr:sp>
    <xdr:clientData/>
  </xdr:oneCellAnchor>
  <xdr:oneCellAnchor>
    <xdr:from>
      <xdr:col>9</xdr:col>
      <xdr:colOff>0</xdr:colOff>
      <xdr:row>11</xdr:row>
      <xdr:rowOff>0</xdr:rowOff>
    </xdr:from>
    <xdr:ext cx="123825" cy="1040946"/>
    <xdr:sp macro="" textlink="">
      <xdr:nvSpPr>
        <xdr:cNvPr id="886" name="Text Box 195">
          <a:extLst>
            <a:ext uri="{FF2B5EF4-FFF2-40B4-BE49-F238E27FC236}">
              <a16:creationId xmlns:a16="http://schemas.microsoft.com/office/drawing/2014/main" id="{00000000-0008-0000-0F00-000076030000}"/>
            </a:ext>
          </a:extLst>
        </xdr:cNvPr>
        <xdr:cNvSpPr txBox="1">
          <a:spLocks noChangeArrowheads="1"/>
        </xdr:cNvSpPr>
      </xdr:nvSpPr>
      <xdr:spPr bwMode="auto">
        <a:xfrm>
          <a:off x="5619750" y="4966607"/>
          <a:ext cx="123825" cy="1040946"/>
        </a:xfrm>
        <a:prstGeom prst="rect">
          <a:avLst/>
        </a:prstGeom>
        <a:noFill/>
        <a:ln w="9525">
          <a:noFill/>
          <a:miter lim="800000"/>
          <a:headEnd/>
          <a:tailEnd/>
        </a:ln>
      </xdr:spPr>
    </xdr:sp>
    <xdr:clientData/>
  </xdr:oneCellAnchor>
  <xdr:oneCellAnchor>
    <xdr:from>
      <xdr:col>9</xdr:col>
      <xdr:colOff>0</xdr:colOff>
      <xdr:row>11</xdr:row>
      <xdr:rowOff>0</xdr:rowOff>
    </xdr:from>
    <xdr:ext cx="123825" cy="1040946"/>
    <xdr:sp macro="" textlink="">
      <xdr:nvSpPr>
        <xdr:cNvPr id="887" name="Text Box 196">
          <a:extLst>
            <a:ext uri="{FF2B5EF4-FFF2-40B4-BE49-F238E27FC236}">
              <a16:creationId xmlns:a16="http://schemas.microsoft.com/office/drawing/2014/main" id="{00000000-0008-0000-0F00-000077030000}"/>
            </a:ext>
          </a:extLst>
        </xdr:cNvPr>
        <xdr:cNvSpPr txBox="1">
          <a:spLocks noChangeArrowheads="1"/>
        </xdr:cNvSpPr>
      </xdr:nvSpPr>
      <xdr:spPr bwMode="auto">
        <a:xfrm>
          <a:off x="5619750" y="4966607"/>
          <a:ext cx="123825" cy="1040946"/>
        </a:xfrm>
        <a:prstGeom prst="rect">
          <a:avLst/>
        </a:prstGeom>
        <a:noFill/>
        <a:ln w="9525">
          <a:noFill/>
          <a:miter lim="800000"/>
          <a:headEnd/>
          <a:tailEnd/>
        </a:ln>
      </xdr:spPr>
    </xdr:sp>
    <xdr:clientData/>
  </xdr:oneCellAnchor>
  <xdr:oneCellAnchor>
    <xdr:from>
      <xdr:col>9</xdr:col>
      <xdr:colOff>0</xdr:colOff>
      <xdr:row>12</xdr:row>
      <xdr:rowOff>0</xdr:rowOff>
    </xdr:from>
    <xdr:ext cx="123825" cy="936171"/>
    <xdr:sp macro="" textlink="">
      <xdr:nvSpPr>
        <xdr:cNvPr id="888" name="Text Box 197">
          <a:extLst>
            <a:ext uri="{FF2B5EF4-FFF2-40B4-BE49-F238E27FC236}">
              <a16:creationId xmlns:a16="http://schemas.microsoft.com/office/drawing/2014/main" id="{00000000-0008-0000-0F00-000078030000}"/>
            </a:ext>
          </a:extLst>
        </xdr:cNvPr>
        <xdr:cNvSpPr txBox="1">
          <a:spLocks noChangeArrowheads="1"/>
        </xdr:cNvSpPr>
      </xdr:nvSpPr>
      <xdr:spPr bwMode="auto">
        <a:xfrm>
          <a:off x="5619750" y="5388429"/>
          <a:ext cx="123825" cy="936171"/>
        </a:xfrm>
        <a:prstGeom prst="rect">
          <a:avLst/>
        </a:prstGeom>
        <a:noFill/>
        <a:ln w="9525">
          <a:noFill/>
          <a:miter lim="800000"/>
          <a:headEnd/>
          <a:tailEnd/>
        </a:ln>
      </xdr:spPr>
    </xdr:sp>
    <xdr:clientData/>
  </xdr:oneCellAnchor>
  <xdr:oneCellAnchor>
    <xdr:from>
      <xdr:col>9</xdr:col>
      <xdr:colOff>0</xdr:colOff>
      <xdr:row>12</xdr:row>
      <xdr:rowOff>0</xdr:rowOff>
    </xdr:from>
    <xdr:ext cx="123825" cy="936171"/>
    <xdr:sp macro="" textlink="">
      <xdr:nvSpPr>
        <xdr:cNvPr id="889" name="Text Box 198">
          <a:extLst>
            <a:ext uri="{FF2B5EF4-FFF2-40B4-BE49-F238E27FC236}">
              <a16:creationId xmlns:a16="http://schemas.microsoft.com/office/drawing/2014/main" id="{00000000-0008-0000-0F00-000079030000}"/>
            </a:ext>
          </a:extLst>
        </xdr:cNvPr>
        <xdr:cNvSpPr txBox="1">
          <a:spLocks noChangeArrowheads="1"/>
        </xdr:cNvSpPr>
      </xdr:nvSpPr>
      <xdr:spPr bwMode="auto">
        <a:xfrm>
          <a:off x="5619750" y="5388429"/>
          <a:ext cx="123825" cy="936171"/>
        </a:xfrm>
        <a:prstGeom prst="rect">
          <a:avLst/>
        </a:prstGeom>
        <a:noFill/>
        <a:ln w="9525">
          <a:noFill/>
          <a:miter lim="800000"/>
          <a:headEnd/>
          <a:tailEnd/>
        </a:ln>
      </xdr:spPr>
    </xdr:sp>
    <xdr:clientData/>
  </xdr:oneCellAnchor>
  <xdr:oneCellAnchor>
    <xdr:from>
      <xdr:col>9</xdr:col>
      <xdr:colOff>0</xdr:colOff>
      <xdr:row>12</xdr:row>
      <xdr:rowOff>0</xdr:rowOff>
    </xdr:from>
    <xdr:ext cx="123825" cy="936171"/>
    <xdr:sp macro="" textlink="">
      <xdr:nvSpPr>
        <xdr:cNvPr id="890" name="Text Box 199">
          <a:extLst>
            <a:ext uri="{FF2B5EF4-FFF2-40B4-BE49-F238E27FC236}">
              <a16:creationId xmlns:a16="http://schemas.microsoft.com/office/drawing/2014/main" id="{00000000-0008-0000-0F00-00007A030000}"/>
            </a:ext>
          </a:extLst>
        </xdr:cNvPr>
        <xdr:cNvSpPr txBox="1">
          <a:spLocks noChangeArrowheads="1"/>
        </xdr:cNvSpPr>
      </xdr:nvSpPr>
      <xdr:spPr bwMode="auto">
        <a:xfrm>
          <a:off x="5619750" y="5388429"/>
          <a:ext cx="123825" cy="936171"/>
        </a:xfrm>
        <a:prstGeom prst="rect">
          <a:avLst/>
        </a:prstGeom>
        <a:noFill/>
        <a:ln w="9525">
          <a:noFill/>
          <a:miter lim="800000"/>
          <a:headEnd/>
          <a:tailEnd/>
        </a:ln>
      </xdr:spPr>
    </xdr:sp>
    <xdr:clientData/>
  </xdr:oneCellAnchor>
  <xdr:oneCellAnchor>
    <xdr:from>
      <xdr:col>9</xdr:col>
      <xdr:colOff>0</xdr:colOff>
      <xdr:row>12</xdr:row>
      <xdr:rowOff>0</xdr:rowOff>
    </xdr:from>
    <xdr:ext cx="123825" cy="936171"/>
    <xdr:sp macro="" textlink="">
      <xdr:nvSpPr>
        <xdr:cNvPr id="891" name="Text Box 200">
          <a:extLst>
            <a:ext uri="{FF2B5EF4-FFF2-40B4-BE49-F238E27FC236}">
              <a16:creationId xmlns:a16="http://schemas.microsoft.com/office/drawing/2014/main" id="{00000000-0008-0000-0F00-00007B030000}"/>
            </a:ext>
          </a:extLst>
        </xdr:cNvPr>
        <xdr:cNvSpPr txBox="1">
          <a:spLocks noChangeArrowheads="1"/>
        </xdr:cNvSpPr>
      </xdr:nvSpPr>
      <xdr:spPr bwMode="auto">
        <a:xfrm>
          <a:off x="5619750" y="5388429"/>
          <a:ext cx="123825" cy="936171"/>
        </a:xfrm>
        <a:prstGeom prst="rect">
          <a:avLst/>
        </a:prstGeom>
        <a:noFill/>
        <a:ln w="9525">
          <a:noFill/>
          <a:miter lim="800000"/>
          <a:headEnd/>
          <a:tailEnd/>
        </a:ln>
      </xdr:spPr>
    </xdr:sp>
    <xdr:clientData/>
  </xdr:oneCellAnchor>
  <xdr:oneCellAnchor>
    <xdr:from>
      <xdr:col>9</xdr:col>
      <xdr:colOff>0</xdr:colOff>
      <xdr:row>12</xdr:row>
      <xdr:rowOff>0</xdr:rowOff>
    </xdr:from>
    <xdr:ext cx="123825" cy="936171"/>
    <xdr:sp macro="" textlink="">
      <xdr:nvSpPr>
        <xdr:cNvPr id="892" name="Text Box 201">
          <a:extLst>
            <a:ext uri="{FF2B5EF4-FFF2-40B4-BE49-F238E27FC236}">
              <a16:creationId xmlns:a16="http://schemas.microsoft.com/office/drawing/2014/main" id="{00000000-0008-0000-0F00-00007C030000}"/>
            </a:ext>
          </a:extLst>
        </xdr:cNvPr>
        <xdr:cNvSpPr txBox="1">
          <a:spLocks noChangeArrowheads="1"/>
        </xdr:cNvSpPr>
      </xdr:nvSpPr>
      <xdr:spPr bwMode="auto">
        <a:xfrm>
          <a:off x="5619750" y="5388429"/>
          <a:ext cx="123825" cy="936171"/>
        </a:xfrm>
        <a:prstGeom prst="rect">
          <a:avLst/>
        </a:prstGeom>
        <a:noFill/>
        <a:ln w="9525">
          <a:noFill/>
          <a:miter lim="800000"/>
          <a:headEnd/>
          <a:tailEnd/>
        </a:ln>
      </xdr:spPr>
    </xdr:sp>
    <xdr:clientData/>
  </xdr:oneCellAnchor>
  <xdr:oneCellAnchor>
    <xdr:from>
      <xdr:col>9</xdr:col>
      <xdr:colOff>0</xdr:colOff>
      <xdr:row>12</xdr:row>
      <xdr:rowOff>0</xdr:rowOff>
    </xdr:from>
    <xdr:ext cx="123825" cy="936171"/>
    <xdr:sp macro="" textlink="">
      <xdr:nvSpPr>
        <xdr:cNvPr id="893" name="Text Box 202">
          <a:extLst>
            <a:ext uri="{FF2B5EF4-FFF2-40B4-BE49-F238E27FC236}">
              <a16:creationId xmlns:a16="http://schemas.microsoft.com/office/drawing/2014/main" id="{00000000-0008-0000-0F00-00007D030000}"/>
            </a:ext>
          </a:extLst>
        </xdr:cNvPr>
        <xdr:cNvSpPr txBox="1">
          <a:spLocks noChangeArrowheads="1"/>
        </xdr:cNvSpPr>
      </xdr:nvSpPr>
      <xdr:spPr bwMode="auto">
        <a:xfrm>
          <a:off x="5619750" y="5388429"/>
          <a:ext cx="123825" cy="936171"/>
        </a:xfrm>
        <a:prstGeom prst="rect">
          <a:avLst/>
        </a:prstGeom>
        <a:noFill/>
        <a:ln w="9525">
          <a:noFill/>
          <a:miter lim="800000"/>
          <a:headEnd/>
          <a:tailEnd/>
        </a:ln>
      </xdr:spPr>
    </xdr:sp>
    <xdr:clientData/>
  </xdr:oneCellAnchor>
  <xdr:oneCellAnchor>
    <xdr:from>
      <xdr:col>9</xdr:col>
      <xdr:colOff>0</xdr:colOff>
      <xdr:row>12</xdr:row>
      <xdr:rowOff>0</xdr:rowOff>
    </xdr:from>
    <xdr:ext cx="123825" cy="936171"/>
    <xdr:sp macro="" textlink="">
      <xdr:nvSpPr>
        <xdr:cNvPr id="894" name="Text Box 203">
          <a:extLst>
            <a:ext uri="{FF2B5EF4-FFF2-40B4-BE49-F238E27FC236}">
              <a16:creationId xmlns:a16="http://schemas.microsoft.com/office/drawing/2014/main" id="{00000000-0008-0000-0F00-00007E030000}"/>
            </a:ext>
          </a:extLst>
        </xdr:cNvPr>
        <xdr:cNvSpPr txBox="1">
          <a:spLocks noChangeArrowheads="1"/>
        </xdr:cNvSpPr>
      </xdr:nvSpPr>
      <xdr:spPr bwMode="auto">
        <a:xfrm>
          <a:off x="5619750" y="5388429"/>
          <a:ext cx="123825" cy="936171"/>
        </a:xfrm>
        <a:prstGeom prst="rect">
          <a:avLst/>
        </a:prstGeom>
        <a:noFill/>
        <a:ln w="9525">
          <a:noFill/>
          <a:miter lim="800000"/>
          <a:headEnd/>
          <a:tailEnd/>
        </a:ln>
      </xdr:spPr>
    </xdr:sp>
    <xdr:clientData/>
  </xdr:oneCellAnchor>
  <xdr:oneCellAnchor>
    <xdr:from>
      <xdr:col>9</xdr:col>
      <xdr:colOff>0</xdr:colOff>
      <xdr:row>12</xdr:row>
      <xdr:rowOff>0</xdr:rowOff>
    </xdr:from>
    <xdr:ext cx="123825" cy="936171"/>
    <xdr:sp macro="" textlink="">
      <xdr:nvSpPr>
        <xdr:cNvPr id="895" name="Text Box 204">
          <a:extLst>
            <a:ext uri="{FF2B5EF4-FFF2-40B4-BE49-F238E27FC236}">
              <a16:creationId xmlns:a16="http://schemas.microsoft.com/office/drawing/2014/main" id="{00000000-0008-0000-0F00-00007F030000}"/>
            </a:ext>
          </a:extLst>
        </xdr:cNvPr>
        <xdr:cNvSpPr txBox="1">
          <a:spLocks noChangeArrowheads="1"/>
        </xdr:cNvSpPr>
      </xdr:nvSpPr>
      <xdr:spPr bwMode="auto">
        <a:xfrm>
          <a:off x="5619750" y="5388429"/>
          <a:ext cx="123825" cy="936171"/>
        </a:xfrm>
        <a:prstGeom prst="rect">
          <a:avLst/>
        </a:prstGeom>
        <a:noFill/>
        <a:ln w="9525">
          <a:noFill/>
          <a:miter lim="800000"/>
          <a:headEnd/>
          <a:tailEnd/>
        </a:ln>
      </xdr:spPr>
    </xdr:sp>
    <xdr:clientData/>
  </xdr:oneCellAnchor>
  <xdr:oneCellAnchor>
    <xdr:from>
      <xdr:col>9</xdr:col>
      <xdr:colOff>0</xdr:colOff>
      <xdr:row>12</xdr:row>
      <xdr:rowOff>0</xdr:rowOff>
    </xdr:from>
    <xdr:ext cx="114300" cy="1050471"/>
    <xdr:sp macro="" textlink="">
      <xdr:nvSpPr>
        <xdr:cNvPr id="896" name="Text Box 205">
          <a:extLst>
            <a:ext uri="{FF2B5EF4-FFF2-40B4-BE49-F238E27FC236}">
              <a16:creationId xmlns:a16="http://schemas.microsoft.com/office/drawing/2014/main" id="{00000000-0008-0000-0F00-000080030000}"/>
            </a:ext>
          </a:extLst>
        </xdr:cNvPr>
        <xdr:cNvSpPr txBox="1">
          <a:spLocks noChangeArrowheads="1"/>
        </xdr:cNvSpPr>
      </xdr:nvSpPr>
      <xdr:spPr bwMode="auto">
        <a:xfrm>
          <a:off x="5619750" y="5388429"/>
          <a:ext cx="114300" cy="1050471"/>
        </a:xfrm>
        <a:prstGeom prst="rect">
          <a:avLst/>
        </a:prstGeom>
        <a:noFill/>
        <a:ln w="9525">
          <a:noFill/>
          <a:miter lim="800000"/>
          <a:headEnd/>
          <a:tailEnd/>
        </a:ln>
      </xdr:spPr>
    </xdr:sp>
    <xdr:clientData/>
  </xdr:oneCellAnchor>
  <xdr:oneCellAnchor>
    <xdr:from>
      <xdr:col>9</xdr:col>
      <xdr:colOff>0</xdr:colOff>
      <xdr:row>12</xdr:row>
      <xdr:rowOff>0</xdr:rowOff>
    </xdr:from>
    <xdr:ext cx="114300" cy="1050471"/>
    <xdr:sp macro="" textlink="">
      <xdr:nvSpPr>
        <xdr:cNvPr id="897" name="Text Box 206">
          <a:extLst>
            <a:ext uri="{FF2B5EF4-FFF2-40B4-BE49-F238E27FC236}">
              <a16:creationId xmlns:a16="http://schemas.microsoft.com/office/drawing/2014/main" id="{00000000-0008-0000-0F00-000081030000}"/>
            </a:ext>
          </a:extLst>
        </xdr:cNvPr>
        <xdr:cNvSpPr txBox="1">
          <a:spLocks noChangeArrowheads="1"/>
        </xdr:cNvSpPr>
      </xdr:nvSpPr>
      <xdr:spPr bwMode="auto">
        <a:xfrm>
          <a:off x="5619750" y="5388429"/>
          <a:ext cx="114300" cy="1050471"/>
        </a:xfrm>
        <a:prstGeom prst="rect">
          <a:avLst/>
        </a:prstGeom>
        <a:noFill/>
        <a:ln w="9525">
          <a:noFill/>
          <a:miter lim="800000"/>
          <a:headEnd/>
          <a:tailEnd/>
        </a:ln>
      </xdr:spPr>
    </xdr:sp>
    <xdr:clientData/>
  </xdr:oneCellAnchor>
  <xdr:oneCellAnchor>
    <xdr:from>
      <xdr:col>9</xdr:col>
      <xdr:colOff>0</xdr:colOff>
      <xdr:row>12</xdr:row>
      <xdr:rowOff>0</xdr:rowOff>
    </xdr:from>
    <xdr:ext cx="123825" cy="1050471"/>
    <xdr:sp macro="" textlink="">
      <xdr:nvSpPr>
        <xdr:cNvPr id="898" name="Text Box 207">
          <a:extLst>
            <a:ext uri="{FF2B5EF4-FFF2-40B4-BE49-F238E27FC236}">
              <a16:creationId xmlns:a16="http://schemas.microsoft.com/office/drawing/2014/main" id="{00000000-0008-0000-0F00-000082030000}"/>
            </a:ext>
          </a:extLst>
        </xdr:cNvPr>
        <xdr:cNvSpPr txBox="1">
          <a:spLocks noChangeArrowheads="1"/>
        </xdr:cNvSpPr>
      </xdr:nvSpPr>
      <xdr:spPr bwMode="auto">
        <a:xfrm>
          <a:off x="5619750" y="5388429"/>
          <a:ext cx="123825" cy="1050471"/>
        </a:xfrm>
        <a:prstGeom prst="rect">
          <a:avLst/>
        </a:prstGeom>
        <a:noFill/>
        <a:ln w="9525">
          <a:noFill/>
          <a:miter lim="800000"/>
          <a:headEnd/>
          <a:tailEnd/>
        </a:ln>
      </xdr:spPr>
    </xdr:sp>
    <xdr:clientData/>
  </xdr:oneCellAnchor>
  <xdr:oneCellAnchor>
    <xdr:from>
      <xdr:col>9</xdr:col>
      <xdr:colOff>0</xdr:colOff>
      <xdr:row>12</xdr:row>
      <xdr:rowOff>0</xdr:rowOff>
    </xdr:from>
    <xdr:ext cx="123825" cy="1050471"/>
    <xdr:sp macro="" textlink="">
      <xdr:nvSpPr>
        <xdr:cNvPr id="899" name="Text Box 208">
          <a:extLst>
            <a:ext uri="{FF2B5EF4-FFF2-40B4-BE49-F238E27FC236}">
              <a16:creationId xmlns:a16="http://schemas.microsoft.com/office/drawing/2014/main" id="{00000000-0008-0000-0F00-000083030000}"/>
            </a:ext>
          </a:extLst>
        </xdr:cNvPr>
        <xdr:cNvSpPr txBox="1">
          <a:spLocks noChangeArrowheads="1"/>
        </xdr:cNvSpPr>
      </xdr:nvSpPr>
      <xdr:spPr bwMode="auto">
        <a:xfrm>
          <a:off x="5619750" y="5388429"/>
          <a:ext cx="123825" cy="1050471"/>
        </a:xfrm>
        <a:prstGeom prst="rect">
          <a:avLst/>
        </a:prstGeom>
        <a:noFill/>
        <a:ln w="9525">
          <a:noFill/>
          <a:miter lim="800000"/>
          <a:headEnd/>
          <a:tailEnd/>
        </a:ln>
      </xdr:spPr>
    </xdr:sp>
    <xdr:clientData/>
  </xdr:oneCellAnchor>
  <xdr:oneCellAnchor>
    <xdr:from>
      <xdr:col>9</xdr:col>
      <xdr:colOff>0</xdr:colOff>
      <xdr:row>12</xdr:row>
      <xdr:rowOff>0</xdr:rowOff>
    </xdr:from>
    <xdr:ext cx="123825" cy="1050471"/>
    <xdr:sp macro="" textlink="">
      <xdr:nvSpPr>
        <xdr:cNvPr id="900" name="Text Box 209">
          <a:extLst>
            <a:ext uri="{FF2B5EF4-FFF2-40B4-BE49-F238E27FC236}">
              <a16:creationId xmlns:a16="http://schemas.microsoft.com/office/drawing/2014/main" id="{00000000-0008-0000-0F00-000084030000}"/>
            </a:ext>
          </a:extLst>
        </xdr:cNvPr>
        <xdr:cNvSpPr txBox="1">
          <a:spLocks noChangeArrowheads="1"/>
        </xdr:cNvSpPr>
      </xdr:nvSpPr>
      <xdr:spPr bwMode="auto">
        <a:xfrm>
          <a:off x="5619750" y="5388429"/>
          <a:ext cx="123825" cy="1050471"/>
        </a:xfrm>
        <a:prstGeom prst="rect">
          <a:avLst/>
        </a:prstGeom>
        <a:noFill/>
        <a:ln w="9525">
          <a:noFill/>
          <a:miter lim="800000"/>
          <a:headEnd/>
          <a:tailEnd/>
        </a:ln>
      </xdr:spPr>
    </xdr:sp>
    <xdr:clientData/>
  </xdr:oneCellAnchor>
  <xdr:oneCellAnchor>
    <xdr:from>
      <xdr:col>9</xdr:col>
      <xdr:colOff>0</xdr:colOff>
      <xdr:row>12</xdr:row>
      <xdr:rowOff>0</xdr:rowOff>
    </xdr:from>
    <xdr:ext cx="123825" cy="1050471"/>
    <xdr:sp macro="" textlink="">
      <xdr:nvSpPr>
        <xdr:cNvPr id="901" name="Text Box 210">
          <a:extLst>
            <a:ext uri="{FF2B5EF4-FFF2-40B4-BE49-F238E27FC236}">
              <a16:creationId xmlns:a16="http://schemas.microsoft.com/office/drawing/2014/main" id="{00000000-0008-0000-0F00-000085030000}"/>
            </a:ext>
          </a:extLst>
        </xdr:cNvPr>
        <xdr:cNvSpPr txBox="1">
          <a:spLocks noChangeArrowheads="1"/>
        </xdr:cNvSpPr>
      </xdr:nvSpPr>
      <xdr:spPr bwMode="auto">
        <a:xfrm>
          <a:off x="5619750" y="5388429"/>
          <a:ext cx="123825" cy="1050471"/>
        </a:xfrm>
        <a:prstGeom prst="rect">
          <a:avLst/>
        </a:prstGeom>
        <a:noFill/>
        <a:ln w="9525">
          <a:noFill/>
          <a:miter lim="800000"/>
          <a:headEnd/>
          <a:tailEnd/>
        </a:ln>
      </xdr:spPr>
    </xdr:sp>
    <xdr:clientData/>
  </xdr:oneCellAnchor>
  <xdr:oneCellAnchor>
    <xdr:from>
      <xdr:col>9</xdr:col>
      <xdr:colOff>0</xdr:colOff>
      <xdr:row>12</xdr:row>
      <xdr:rowOff>0</xdr:rowOff>
    </xdr:from>
    <xdr:ext cx="123825" cy="936171"/>
    <xdr:sp macro="" textlink="">
      <xdr:nvSpPr>
        <xdr:cNvPr id="902" name="Text Box 211">
          <a:extLst>
            <a:ext uri="{FF2B5EF4-FFF2-40B4-BE49-F238E27FC236}">
              <a16:creationId xmlns:a16="http://schemas.microsoft.com/office/drawing/2014/main" id="{00000000-0008-0000-0F00-000086030000}"/>
            </a:ext>
          </a:extLst>
        </xdr:cNvPr>
        <xdr:cNvSpPr txBox="1">
          <a:spLocks noChangeArrowheads="1"/>
        </xdr:cNvSpPr>
      </xdr:nvSpPr>
      <xdr:spPr bwMode="auto">
        <a:xfrm>
          <a:off x="5619750" y="5388429"/>
          <a:ext cx="123825" cy="936171"/>
        </a:xfrm>
        <a:prstGeom prst="rect">
          <a:avLst/>
        </a:prstGeom>
        <a:noFill/>
        <a:ln w="9525">
          <a:noFill/>
          <a:miter lim="800000"/>
          <a:headEnd/>
          <a:tailEnd/>
        </a:ln>
      </xdr:spPr>
    </xdr:sp>
    <xdr:clientData/>
  </xdr:oneCellAnchor>
  <xdr:oneCellAnchor>
    <xdr:from>
      <xdr:col>9</xdr:col>
      <xdr:colOff>0</xdr:colOff>
      <xdr:row>12</xdr:row>
      <xdr:rowOff>0</xdr:rowOff>
    </xdr:from>
    <xdr:ext cx="123825" cy="936171"/>
    <xdr:sp macro="" textlink="">
      <xdr:nvSpPr>
        <xdr:cNvPr id="903" name="Text Box 212">
          <a:extLst>
            <a:ext uri="{FF2B5EF4-FFF2-40B4-BE49-F238E27FC236}">
              <a16:creationId xmlns:a16="http://schemas.microsoft.com/office/drawing/2014/main" id="{00000000-0008-0000-0F00-000087030000}"/>
            </a:ext>
          </a:extLst>
        </xdr:cNvPr>
        <xdr:cNvSpPr txBox="1">
          <a:spLocks noChangeArrowheads="1"/>
        </xdr:cNvSpPr>
      </xdr:nvSpPr>
      <xdr:spPr bwMode="auto">
        <a:xfrm>
          <a:off x="5619750" y="5388429"/>
          <a:ext cx="123825" cy="936171"/>
        </a:xfrm>
        <a:prstGeom prst="rect">
          <a:avLst/>
        </a:prstGeom>
        <a:noFill/>
        <a:ln w="9525">
          <a:noFill/>
          <a:miter lim="800000"/>
          <a:headEnd/>
          <a:tailEnd/>
        </a:ln>
      </xdr:spPr>
    </xdr:sp>
    <xdr:clientData/>
  </xdr:oneCellAnchor>
  <xdr:oneCellAnchor>
    <xdr:from>
      <xdr:col>9</xdr:col>
      <xdr:colOff>0</xdr:colOff>
      <xdr:row>12</xdr:row>
      <xdr:rowOff>0</xdr:rowOff>
    </xdr:from>
    <xdr:ext cx="123825" cy="936171"/>
    <xdr:sp macro="" textlink="">
      <xdr:nvSpPr>
        <xdr:cNvPr id="904" name="Text Box 213">
          <a:extLst>
            <a:ext uri="{FF2B5EF4-FFF2-40B4-BE49-F238E27FC236}">
              <a16:creationId xmlns:a16="http://schemas.microsoft.com/office/drawing/2014/main" id="{00000000-0008-0000-0F00-000088030000}"/>
            </a:ext>
          </a:extLst>
        </xdr:cNvPr>
        <xdr:cNvSpPr txBox="1">
          <a:spLocks noChangeArrowheads="1"/>
        </xdr:cNvSpPr>
      </xdr:nvSpPr>
      <xdr:spPr bwMode="auto">
        <a:xfrm>
          <a:off x="5619750" y="5388429"/>
          <a:ext cx="123825" cy="936171"/>
        </a:xfrm>
        <a:prstGeom prst="rect">
          <a:avLst/>
        </a:prstGeom>
        <a:noFill/>
        <a:ln w="9525">
          <a:noFill/>
          <a:miter lim="800000"/>
          <a:headEnd/>
          <a:tailEnd/>
        </a:ln>
      </xdr:spPr>
    </xdr:sp>
    <xdr:clientData/>
  </xdr:oneCellAnchor>
  <xdr:oneCellAnchor>
    <xdr:from>
      <xdr:col>9</xdr:col>
      <xdr:colOff>0</xdr:colOff>
      <xdr:row>12</xdr:row>
      <xdr:rowOff>0</xdr:rowOff>
    </xdr:from>
    <xdr:ext cx="123825" cy="936171"/>
    <xdr:sp macro="" textlink="">
      <xdr:nvSpPr>
        <xdr:cNvPr id="905" name="Text Box 214">
          <a:extLst>
            <a:ext uri="{FF2B5EF4-FFF2-40B4-BE49-F238E27FC236}">
              <a16:creationId xmlns:a16="http://schemas.microsoft.com/office/drawing/2014/main" id="{00000000-0008-0000-0F00-000089030000}"/>
            </a:ext>
          </a:extLst>
        </xdr:cNvPr>
        <xdr:cNvSpPr txBox="1">
          <a:spLocks noChangeArrowheads="1"/>
        </xdr:cNvSpPr>
      </xdr:nvSpPr>
      <xdr:spPr bwMode="auto">
        <a:xfrm>
          <a:off x="5619750" y="5388429"/>
          <a:ext cx="123825" cy="936171"/>
        </a:xfrm>
        <a:prstGeom prst="rect">
          <a:avLst/>
        </a:prstGeom>
        <a:noFill/>
        <a:ln w="9525">
          <a:noFill/>
          <a:miter lim="800000"/>
          <a:headEnd/>
          <a:tailEnd/>
        </a:ln>
      </xdr:spPr>
    </xdr:sp>
    <xdr:clientData/>
  </xdr:oneCellAnchor>
  <xdr:oneCellAnchor>
    <xdr:from>
      <xdr:col>9</xdr:col>
      <xdr:colOff>0</xdr:colOff>
      <xdr:row>18</xdr:row>
      <xdr:rowOff>0</xdr:rowOff>
    </xdr:from>
    <xdr:ext cx="123825" cy="677636"/>
    <xdr:sp macro="" textlink="">
      <xdr:nvSpPr>
        <xdr:cNvPr id="906" name="Text Box 216">
          <a:extLst>
            <a:ext uri="{FF2B5EF4-FFF2-40B4-BE49-F238E27FC236}">
              <a16:creationId xmlns:a16="http://schemas.microsoft.com/office/drawing/2014/main" id="{00000000-0008-0000-0F00-00008A030000}"/>
            </a:ext>
          </a:extLst>
        </xdr:cNvPr>
        <xdr:cNvSpPr txBox="1">
          <a:spLocks noChangeArrowheads="1"/>
        </xdr:cNvSpPr>
      </xdr:nvSpPr>
      <xdr:spPr bwMode="auto">
        <a:xfrm>
          <a:off x="5619750" y="9225643"/>
          <a:ext cx="123825" cy="677636"/>
        </a:xfrm>
        <a:prstGeom prst="rect">
          <a:avLst/>
        </a:prstGeom>
        <a:noFill/>
        <a:ln w="9525">
          <a:noFill/>
          <a:miter lim="800000"/>
          <a:headEnd/>
          <a:tailEnd/>
        </a:ln>
      </xdr:spPr>
    </xdr:sp>
    <xdr:clientData/>
  </xdr:oneCellAnchor>
  <xdr:oneCellAnchor>
    <xdr:from>
      <xdr:col>9</xdr:col>
      <xdr:colOff>0</xdr:colOff>
      <xdr:row>18</xdr:row>
      <xdr:rowOff>0</xdr:rowOff>
    </xdr:from>
    <xdr:ext cx="123825" cy="677636"/>
    <xdr:sp macro="" textlink="">
      <xdr:nvSpPr>
        <xdr:cNvPr id="907" name="Text Box 217">
          <a:extLst>
            <a:ext uri="{FF2B5EF4-FFF2-40B4-BE49-F238E27FC236}">
              <a16:creationId xmlns:a16="http://schemas.microsoft.com/office/drawing/2014/main" id="{00000000-0008-0000-0F00-00008B030000}"/>
            </a:ext>
          </a:extLst>
        </xdr:cNvPr>
        <xdr:cNvSpPr txBox="1">
          <a:spLocks noChangeArrowheads="1"/>
        </xdr:cNvSpPr>
      </xdr:nvSpPr>
      <xdr:spPr bwMode="auto">
        <a:xfrm>
          <a:off x="5619750" y="9225643"/>
          <a:ext cx="123825" cy="677636"/>
        </a:xfrm>
        <a:prstGeom prst="rect">
          <a:avLst/>
        </a:prstGeom>
        <a:noFill/>
        <a:ln w="9525">
          <a:noFill/>
          <a:miter lim="800000"/>
          <a:headEnd/>
          <a:tailEnd/>
        </a:ln>
      </xdr:spPr>
    </xdr:sp>
    <xdr:clientData/>
  </xdr:oneCellAnchor>
  <xdr:oneCellAnchor>
    <xdr:from>
      <xdr:col>9</xdr:col>
      <xdr:colOff>0</xdr:colOff>
      <xdr:row>18</xdr:row>
      <xdr:rowOff>0</xdr:rowOff>
    </xdr:from>
    <xdr:ext cx="123825" cy="677636"/>
    <xdr:sp macro="" textlink="">
      <xdr:nvSpPr>
        <xdr:cNvPr id="908" name="Text Box 218">
          <a:extLst>
            <a:ext uri="{FF2B5EF4-FFF2-40B4-BE49-F238E27FC236}">
              <a16:creationId xmlns:a16="http://schemas.microsoft.com/office/drawing/2014/main" id="{00000000-0008-0000-0F00-00008C030000}"/>
            </a:ext>
          </a:extLst>
        </xdr:cNvPr>
        <xdr:cNvSpPr txBox="1">
          <a:spLocks noChangeArrowheads="1"/>
        </xdr:cNvSpPr>
      </xdr:nvSpPr>
      <xdr:spPr bwMode="auto">
        <a:xfrm>
          <a:off x="5619750" y="9225643"/>
          <a:ext cx="123825" cy="677636"/>
        </a:xfrm>
        <a:prstGeom prst="rect">
          <a:avLst/>
        </a:prstGeom>
        <a:noFill/>
        <a:ln w="9525">
          <a:noFill/>
          <a:miter lim="800000"/>
          <a:headEnd/>
          <a:tailEnd/>
        </a:ln>
      </xdr:spPr>
    </xdr:sp>
    <xdr:clientData/>
  </xdr:oneCellAnchor>
  <xdr:oneCellAnchor>
    <xdr:from>
      <xdr:col>9</xdr:col>
      <xdr:colOff>0</xdr:colOff>
      <xdr:row>18</xdr:row>
      <xdr:rowOff>0</xdr:rowOff>
    </xdr:from>
    <xdr:ext cx="123825" cy="677636"/>
    <xdr:sp macro="" textlink="">
      <xdr:nvSpPr>
        <xdr:cNvPr id="909" name="Text Box 219">
          <a:extLst>
            <a:ext uri="{FF2B5EF4-FFF2-40B4-BE49-F238E27FC236}">
              <a16:creationId xmlns:a16="http://schemas.microsoft.com/office/drawing/2014/main" id="{00000000-0008-0000-0F00-00008D030000}"/>
            </a:ext>
          </a:extLst>
        </xdr:cNvPr>
        <xdr:cNvSpPr txBox="1">
          <a:spLocks noChangeArrowheads="1"/>
        </xdr:cNvSpPr>
      </xdr:nvSpPr>
      <xdr:spPr bwMode="auto">
        <a:xfrm>
          <a:off x="5619750" y="9225643"/>
          <a:ext cx="123825" cy="677636"/>
        </a:xfrm>
        <a:prstGeom prst="rect">
          <a:avLst/>
        </a:prstGeom>
        <a:noFill/>
        <a:ln w="9525">
          <a:noFill/>
          <a:miter lim="800000"/>
          <a:headEnd/>
          <a:tailEnd/>
        </a:ln>
      </xdr:spPr>
    </xdr:sp>
    <xdr:clientData/>
  </xdr:oneCellAnchor>
  <xdr:oneCellAnchor>
    <xdr:from>
      <xdr:col>9</xdr:col>
      <xdr:colOff>0</xdr:colOff>
      <xdr:row>18</xdr:row>
      <xdr:rowOff>0</xdr:rowOff>
    </xdr:from>
    <xdr:ext cx="123825" cy="677636"/>
    <xdr:sp macro="" textlink="">
      <xdr:nvSpPr>
        <xdr:cNvPr id="910" name="Text Box 220">
          <a:extLst>
            <a:ext uri="{FF2B5EF4-FFF2-40B4-BE49-F238E27FC236}">
              <a16:creationId xmlns:a16="http://schemas.microsoft.com/office/drawing/2014/main" id="{00000000-0008-0000-0F00-00008E030000}"/>
            </a:ext>
          </a:extLst>
        </xdr:cNvPr>
        <xdr:cNvSpPr txBox="1">
          <a:spLocks noChangeArrowheads="1"/>
        </xdr:cNvSpPr>
      </xdr:nvSpPr>
      <xdr:spPr bwMode="auto">
        <a:xfrm>
          <a:off x="5619750" y="9225643"/>
          <a:ext cx="123825" cy="677636"/>
        </a:xfrm>
        <a:prstGeom prst="rect">
          <a:avLst/>
        </a:prstGeom>
        <a:noFill/>
        <a:ln w="9525">
          <a:noFill/>
          <a:miter lim="800000"/>
          <a:headEnd/>
          <a:tailEnd/>
        </a:ln>
      </xdr:spPr>
    </xdr:sp>
    <xdr:clientData/>
  </xdr:oneCellAnchor>
  <xdr:oneCellAnchor>
    <xdr:from>
      <xdr:col>9</xdr:col>
      <xdr:colOff>0</xdr:colOff>
      <xdr:row>18</xdr:row>
      <xdr:rowOff>0</xdr:rowOff>
    </xdr:from>
    <xdr:ext cx="123825" cy="677636"/>
    <xdr:sp macro="" textlink="">
      <xdr:nvSpPr>
        <xdr:cNvPr id="911" name="Text Box 221">
          <a:extLst>
            <a:ext uri="{FF2B5EF4-FFF2-40B4-BE49-F238E27FC236}">
              <a16:creationId xmlns:a16="http://schemas.microsoft.com/office/drawing/2014/main" id="{00000000-0008-0000-0F00-00008F030000}"/>
            </a:ext>
          </a:extLst>
        </xdr:cNvPr>
        <xdr:cNvSpPr txBox="1">
          <a:spLocks noChangeArrowheads="1"/>
        </xdr:cNvSpPr>
      </xdr:nvSpPr>
      <xdr:spPr bwMode="auto">
        <a:xfrm>
          <a:off x="5619750" y="9225643"/>
          <a:ext cx="123825" cy="677636"/>
        </a:xfrm>
        <a:prstGeom prst="rect">
          <a:avLst/>
        </a:prstGeom>
        <a:noFill/>
        <a:ln w="9525">
          <a:noFill/>
          <a:miter lim="800000"/>
          <a:headEnd/>
          <a:tailEnd/>
        </a:ln>
      </xdr:spPr>
    </xdr:sp>
    <xdr:clientData/>
  </xdr:oneCellAnchor>
  <xdr:oneCellAnchor>
    <xdr:from>
      <xdr:col>9</xdr:col>
      <xdr:colOff>0</xdr:colOff>
      <xdr:row>18</xdr:row>
      <xdr:rowOff>0</xdr:rowOff>
    </xdr:from>
    <xdr:ext cx="123825" cy="677636"/>
    <xdr:sp macro="" textlink="">
      <xdr:nvSpPr>
        <xdr:cNvPr id="912" name="Text Box 222">
          <a:extLst>
            <a:ext uri="{FF2B5EF4-FFF2-40B4-BE49-F238E27FC236}">
              <a16:creationId xmlns:a16="http://schemas.microsoft.com/office/drawing/2014/main" id="{00000000-0008-0000-0F00-000090030000}"/>
            </a:ext>
          </a:extLst>
        </xdr:cNvPr>
        <xdr:cNvSpPr txBox="1">
          <a:spLocks noChangeArrowheads="1"/>
        </xdr:cNvSpPr>
      </xdr:nvSpPr>
      <xdr:spPr bwMode="auto">
        <a:xfrm>
          <a:off x="5619750" y="9225643"/>
          <a:ext cx="123825" cy="677636"/>
        </a:xfrm>
        <a:prstGeom prst="rect">
          <a:avLst/>
        </a:prstGeom>
        <a:noFill/>
        <a:ln w="9525">
          <a:noFill/>
          <a:miter lim="800000"/>
          <a:headEnd/>
          <a:tailEnd/>
        </a:ln>
      </xdr:spPr>
    </xdr:sp>
    <xdr:clientData/>
  </xdr:oneCellAnchor>
  <xdr:oneCellAnchor>
    <xdr:from>
      <xdr:col>9</xdr:col>
      <xdr:colOff>0</xdr:colOff>
      <xdr:row>18</xdr:row>
      <xdr:rowOff>0</xdr:rowOff>
    </xdr:from>
    <xdr:ext cx="123825" cy="677636"/>
    <xdr:sp macro="" textlink="">
      <xdr:nvSpPr>
        <xdr:cNvPr id="913" name="Text Box 223">
          <a:extLst>
            <a:ext uri="{FF2B5EF4-FFF2-40B4-BE49-F238E27FC236}">
              <a16:creationId xmlns:a16="http://schemas.microsoft.com/office/drawing/2014/main" id="{00000000-0008-0000-0F00-000091030000}"/>
            </a:ext>
          </a:extLst>
        </xdr:cNvPr>
        <xdr:cNvSpPr txBox="1">
          <a:spLocks noChangeArrowheads="1"/>
        </xdr:cNvSpPr>
      </xdr:nvSpPr>
      <xdr:spPr bwMode="auto">
        <a:xfrm>
          <a:off x="5619750" y="9225643"/>
          <a:ext cx="123825" cy="677636"/>
        </a:xfrm>
        <a:prstGeom prst="rect">
          <a:avLst/>
        </a:prstGeom>
        <a:noFill/>
        <a:ln w="9525">
          <a:noFill/>
          <a:miter lim="800000"/>
          <a:headEnd/>
          <a:tailEnd/>
        </a:ln>
      </xdr:spPr>
    </xdr:sp>
    <xdr:clientData/>
  </xdr:oneCellAnchor>
  <xdr:oneCellAnchor>
    <xdr:from>
      <xdr:col>9</xdr:col>
      <xdr:colOff>0</xdr:colOff>
      <xdr:row>18</xdr:row>
      <xdr:rowOff>0</xdr:rowOff>
    </xdr:from>
    <xdr:ext cx="114300" cy="678997"/>
    <xdr:sp macro="" textlink="">
      <xdr:nvSpPr>
        <xdr:cNvPr id="914" name="Text Box 224">
          <a:extLst>
            <a:ext uri="{FF2B5EF4-FFF2-40B4-BE49-F238E27FC236}">
              <a16:creationId xmlns:a16="http://schemas.microsoft.com/office/drawing/2014/main" id="{00000000-0008-0000-0F00-000092030000}"/>
            </a:ext>
          </a:extLst>
        </xdr:cNvPr>
        <xdr:cNvSpPr txBox="1">
          <a:spLocks noChangeArrowheads="1"/>
        </xdr:cNvSpPr>
      </xdr:nvSpPr>
      <xdr:spPr bwMode="auto">
        <a:xfrm>
          <a:off x="5619750" y="9225643"/>
          <a:ext cx="114300" cy="678997"/>
        </a:xfrm>
        <a:prstGeom prst="rect">
          <a:avLst/>
        </a:prstGeom>
        <a:noFill/>
        <a:ln w="9525">
          <a:noFill/>
          <a:miter lim="800000"/>
          <a:headEnd/>
          <a:tailEnd/>
        </a:ln>
      </xdr:spPr>
    </xdr:sp>
    <xdr:clientData/>
  </xdr:oneCellAnchor>
  <xdr:oneCellAnchor>
    <xdr:from>
      <xdr:col>9</xdr:col>
      <xdr:colOff>0</xdr:colOff>
      <xdr:row>18</xdr:row>
      <xdr:rowOff>0</xdr:rowOff>
    </xdr:from>
    <xdr:ext cx="123825" cy="678997"/>
    <xdr:sp macro="" textlink="">
      <xdr:nvSpPr>
        <xdr:cNvPr id="915" name="Text Box 226">
          <a:extLst>
            <a:ext uri="{FF2B5EF4-FFF2-40B4-BE49-F238E27FC236}">
              <a16:creationId xmlns:a16="http://schemas.microsoft.com/office/drawing/2014/main" id="{00000000-0008-0000-0F00-000093030000}"/>
            </a:ext>
          </a:extLst>
        </xdr:cNvPr>
        <xdr:cNvSpPr txBox="1">
          <a:spLocks noChangeArrowheads="1"/>
        </xdr:cNvSpPr>
      </xdr:nvSpPr>
      <xdr:spPr bwMode="auto">
        <a:xfrm>
          <a:off x="5619750" y="9225643"/>
          <a:ext cx="123825" cy="678997"/>
        </a:xfrm>
        <a:prstGeom prst="rect">
          <a:avLst/>
        </a:prstGeom>
        <a:noFill/>
        <a:ln w="9525">
          <a:noFill/>
          <a:miter lim="800000"/>
          <a:headEnd/>
          <a:tailEnd/>
        </a:ln>
      </xdr:spPr>
    </xdr:sp>
    <xdr:clientData/>
  </xdr:oneCellAnchor>
  <xdr:oneCellAnchor>
    <xdr:from>
      <xdr:col>9</xdr:col>
      <xdr:colOff>0</xdr:colOff>
      <xdr:row>18</xdr:row>
      <xdr:rowOff>0</xdr:rowOff>
    </xdr:from>
    <xdr:ext cx="123825" cy="678997"/>
    <xdr:sp macro="" textlink="">
      <xdr:nvSpPr>
        <xdr:cNvPr id="916" name="Text Box 227">
          <a:extLst>
            <a:ext uri="{FF2B5EF4-FFF2-40B4-BE49-F238E27FC236}">
              <a16:creationId xmlns:a16="http://schemas.microsoft.com/office/drawing/2014/main" id="{00000000-0008-0000-0F00-000094030000}"/>
            </a:ext>
          </a:extLst>
        </xdr:cNvPr>
        <xdr:cNvSpPr txBox="1">
          <a:spLocks noChangeArrowheads="1"/>
        </xdr:cNvSpPr>
      </xdr:nvSpPr>
      <xdr:spPr bwMode="auto">
        <a:xfrm>
          <a:off x="5619750" y="9225643"/>
          <a:ext cx="123825" cy="678997"/>
        </a:xfrm>
        <a:prstGeom prst="rect">
          <a:avLst/>
        </a:prstGeom>
        <a:noFill/>
        <a:ln w="9525">
          <a:noFill/>
          <a:miter lim="800000"/>
          <a:headEnd/>
          <a:tailEnd/>
        </a:ln>
      </xdr:spPr>
    </xdr:sp>
    <xdr:clientData/>
  </xdr:oneCellAnchor>
  <xdr:oneCellAnchor>
    <xdr:from>
      <xdr:col>9</xdr:col>
      <xdr:colOff>0</xdr:colOff>
      <xdr:row>18</xdr:row>
      <xdr:rowOff>0</xdr:rowOff>
    </xdr:from>
    <xdr:ext cx="123825" cy="678997"/>
    <xdr:sp macro="" textlink="">
      <xdr:nvSpPr>
        <xdr:cNvPr id="917" name="Text Box 228">
          <a:extLst>
            <a:ext uri="{FF2B5EF4-FFF2-40B4-BE49-F238E27FC236}">
              <a16:creationId xmlns:a16="http://schemas.microsoft.com/office/drawing/2014/main" id="{00000000-0008-0000-0F00-000095030000}"/>
            </a:ext>
          </a:extLst>
        </xdr:cNvPr>
        <xdr:cNvSpPr txBox="1">
          <a:spLocks noChangeArrowheads="1"/>
        </xdr:cNvSpPr>
      </xdr:nvSpPr>
      <xdr:spPr bwMode="auto">
        <a:xfrm>
          <a:off x="5619750" y="9225643"/>
          <a:ext cx="123825" cy="678997"/>
        </a:xfrm>
        <a:prstGeom prst="rect">
          <a:avLst/>
        </a:prstGeom>
        <a:noFill/>
        <a:ln w="9525">
          <a:noFill/>
          <a:miter lim="800000"/>
          <a:headEnd/>
          <a:tailEnd/>
        </a:ln>
      </xdr:spPr>
    </xdr:sp>
    <xdr:clientData/>
  </xdr:oneCellAnchor>
  <xdr:oneCellAnchor>
    <xdr:from>
      <xdr:col>9</xdr:col>
      <xdr:colOff>0</xdr:colOff>
      <xdr:row>18</xdr:row>
      <xdr:rowOff>0</xdr:rowOff>
    </xdr:from>
    <xdr:ext cx="123825" cy="678997"/>
    <xdr:sp macro="" textlink="">
      <xdr:nvSpPr>
        <xdr:cNvPr id="918" name="Text Box 229">
          <a:extLst>
            <a:ext uri="{FF2B5EF4-FFF2-40B4-BE49-F238E27FC236}">
              <a16:creationId xmlns:a16="http://schemas.microsoft.com/office/drawing/2014/main" id="{00000000-0008-0000-0F00-000096030000}"/>
            </a:ext>
          </a:extLst>
        </xdr:cNvPr>
        <xdr:cNvSpPr txBox="1">
          <a:spLocks noChangeArrowheads="1"/>
        </xdr:cNvSpPr>
      </xdr:nvSpPr>
      <xdr:spPr bwMode="auto">
        <a:xfrm>
          <a:off x="5619750" y="9225643"/>
          <a:ext cx="123825" cy="678997"/>
        </a:xfrm>
        <a:prstGeom prst="rect">
          <a:avLst/>
        </a:prstGeom>
        <a:noFill/>
        <a:ln w="9525">
          <a:noFill/>
          <a:miter lim="800000"/>
          <a:headEnd/>
          <a:tailEnd/>
        </a:ln>
      </xdr:spPr>
    </xdr:sp>
    <xdr:clientData/>
  </xdr:oneCellAnchor>
  <xdr:oneCellAnchor>
    <xdr:from>
      <xdr:col>9</xdr:col>
      <xdr:colOff>0</xdr:colOff>
      <xdr:row>18</xdr:row>
      <xdr:rowOff>0</xdr:rowOff>
    </xdr:from>
    <xdr:ext cx="123825" cy="677636"/>
    <xdr:sp macro="" textlink="">
      <xdr:nvSpPr>
        <xdr:cNvPr id="919" name="Text Box 230">
          <a:extLst>
            <a:ext uri="{FF2B5EF4-FFF2-40B4-BE49-F238E27FC236}">
              <a16:creationId xmlns:a16="http://schemas.microsoft.com/office/drawing/2014/main" id="{00000000-0008-0000-0F00-000097030000}"/>
            </a:ext>
          </a:extLst>
        </xdr:cNvPr>
        <xdr:cNvSpPr txBox="1">
          <a:spLocks noChangeArrowheads="1"/>
        </xdr:cNvSpPr>
      </xdr:nvSpPr>
      <xdr:spPr bwMode="auto">
        <a:xfrm>
          <a:off x="5619750" y="9225643"/>
          <a:ext cx="123825" cy="677636"/>
        </a:xfrm>
        <a:prstGeom prst="rect">
          <a:avLst/>
        </a:prstGeom>
        <a:noFill/>
        <a:ln w="9525">
          <a:noFill/>
          <a:miter lim="800000"/>
          <a:headEnd/>
          <a:tailEnd/>
        </a:ln>
      </xdr:spPr>
    </xdr:sp>
    <xdr:clientData/>
  </xdr:oneCellAnchor>
  <xdr:oneCellAnchor>
    <xdr:from>
      <xdr:col>9</xdr:col>
      <xdr:colOff>0</xdr:colOff>
      <xdr:row>18</xdr:row>
      <xdr:rowOff>0</xdr:rowOff>
    </xdr:from>
    <xdr:ext cx="123825" cy="677636"/>
    <xdr:sp macro="" textlink="">
      <xdr:nvSpPr>
        <xdr:cNvPr id="920" name="Text Box 231">
          <a:extLst>
            <a:ext uri="{FF2B5EF4-FFF2-40B4-BE49-F238E27FC236}">
              <a16:creationId xmlns:a16="http://schemas.microsoft.com/office/drawing/2014/main" id="{00000000-0008-0000-0F00-000098030000}"/>
            </a:ext>
          </a:extLst>
        </xdr:cNvPr>
        <xdr:cNvSpPr txBox="1">
          <a:spLocks noChangeArrowheads="1"/>
        </xdr:cNvSpPr>
      </xdr:nvSpPr>
      <xdr:spPr bwMode="auto">
        <a:xfrm>
          <a:off x="5619750" y="9225643"/>
          <a:ext cx="123825" cy="677636"/>
        </a:xfrm>
        <a:prstGeom prst="rect">
          <a:avLst/>
        </a:prstGeom>
        <a:noFill/>
        <a:ln w="9525">
          <a:noFill/>
          <a:miter lim="800000"/>
          <a:headEnd/>
          <a:tailEnd/>
        </a:ln>
      </xdr:spPr>
    </xdr:sp>
    <xdr:clientData/>
  </xdr:oneCellAnchor>
  <xdr:oneCellAnchor>
    <xdr:from>
      <xdr:col>9</xdr:col>
      <xdr:colOff>0</xdr:colOff>
      <xdr:row>18</xdr:row>
      <xdr:rowOff>0</xdr:rowOff>
    </xdr:from>
    <xdr:ext cx="123825" cy="677636"/>
    <xdr:sp macro="" textlink="">
      <xdr:nvSpPr>
        <xdr:cNvPr id="921" name="Text Box 232">
          <a:extLst>
            <a:ext uri="{FF2B5EF4-FFF2-40B4-BE49-F238E27FC236}">
              <a16:creationId xmlns:a16="http://schemas.microsoft.com/office/drawing/2014/main" id="{00000000-0008-0000-0F00-000099030000}"/>
            </a:ext>
          </a:extLst>
        </xdr:cNvPr>
        <xdr:cNvSpPr txBox="1">
          <a:spLocks noChangeArrowheads="1"/>
        </xdr:cNvSpPr>
      </xdr:nvSpPr>
      <xdr:spPr bwMode="auto">
        <a:xfrm>
          <a:off x="5619750" y="9225643"/>
          <a:ext cx="123825" cy="677636"/>
        </a:xfrm>
        <a:prstGeom prst="rect">
          <a:avLst/>
        </a:prstGeom>
        <a:noFill/>
        <a:ln w="9525">
          <a:noFill/>
          <a:miter lim="800000"/>
          <a:headEnd/>
          <a:tailEnd/>
        </a:ln>
      </xdr:spPr>
    </xdr:sp>
    <xdr:clientData/>
  </xdr:oneCellAnchor>
  <xdr:oneCellAnchor>
    <xdr:from>
      <xdr:col>9</xdr:col>
      <xdr:colOff>0</xdr:colOff>
      <xdr:row>18</xdr:row>
      <xdr:rowOff>0</xdr:rowOff>
    </xdr:from>
    <xdr:ext cx="123825" cy="677636"/>
    <xdr:sp macro="" textlink="">
      <xdr:nvSpPr>
        <xdr:cNvPr id="922" name="Text Box 233">
          <a:extLst>
            <a:ext uri="{FF2B5EF4-FFF2-40B4-BE49-F238E27FC236}">
              <a16:creationId xmlns:a16="http://schemas.microsoft.com/office/drawing/2014/main" id="{00000000-0008-0000-0F00-00009A030000}"/>
            </a:ext>
          </a:extLst>
        </xdr:cNvPr>
        <xdr:cNvSpPr txBox="1">
          <a:spLocks noChangeArrowheads="1"/>
        </xdr:cNvSpPr>
      </xdr:nvSpPr>
      <xdr:spPr bwMode="auto">
        <a:xfrm>
          <a:off x="5619750" y="9225643"/>
          <a:ext cx="123825" cy="677636"/>
        </a:xfrm>
        <a:prstGeom prst="rect">
          <a:avLst/>
        </a:prstGeom>
        <a:noFill/>
        <a:ln w="9525">
          <a:noFill/>
          <a:miter lim="800000"/>
          <a:headEnd/>
          <a:tailEnd/>
        </a:ln>
      </xdr:spPr>
    </xdr:sp>
    <xdr:clientData/>
  </xdr:oneCellAnchor>
  <xdr:oneCellAnchor>
    <xdr:from>
      <xdr:col>8</xdr:col>
      <xdr:colOff>0</xdr:colOff>
      <xdr:row>18</xdr:row>
      <xdr:rowOff>0</xdr:rowOff>
    </xdr:from>
    <xdr:ext cx="123825" cy="677636"/>
    <xdr:sp macro="" textlink="">
      <xdr:nvSpPr>
        <xdr:cNvPr id="923" name="Text Box 216">
          <a:extLst>
            <a:ext uri="{FF2B5EF4-FFF2-40B4-BE49-F238E27FC236}">
              <a16:creationId xmlns:a16="http://schemas.microsoft.com/office/drawing/2014/main" id="{00000000-0008-0000-0F00-00009B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8</xdr:col>
      <xdr:colOff>0</xdr:colOff>
      <xdr:row>18</xdr:row>
      <xdr:rowOff>0</xdr:rowOff>
    </xdr:from>
    <xdr:ext cx="123825" cy="677636"/>
    <xdr:sp macro="" textlink="">
      <xdr:nvSpPr>
        <xdr:cNvPr id="924" name="Text Box 217">
          <a:extLst>
            <a:ext uri="{FF2B5EF4-FFF2-40B4-BE49-F238E27FC236}">
              <a16:creationId xmlns:a16="http://schemas.microsoft.com/office/drawing/2014/main" id="{00000000-0008-0000-0F00-00009C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8</xdr:col>
      <xdr:colOff>0</xdr:colOff>
      <xdr:row>18</xdr:row>
      <xdr:rowOff>0</xdr:rowOff>
    </xdr:from>
    <xdr:ext cx="123825" cy="677636"/>
    <xdr:sp macro="" textlink="">
      <xdr:nvSpPr>
        <xdr:cNvPr id="925" name="Text Box 218">
          <a:extLst>
            <a:ext uri="{FF2B5EF4-FFF2-40B4-BE49-F238E27FC236}">
              <a16:creationId xmlns:a16="http://schemas.microsoft.com/office/drawing/2014/main" id="{00000000-0008-0000-0F00-00009D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8</xdr:col>
      <xdr:colOff>0</xdr:colOff>
      <xdr:row>18</xdr:row>
      <xdr:rowOff>0</xdr:rowOff>
    </xdr:from>
    <xdr:ext cx="123825" cy="677636"/>
    <xdr:sp macro="" textlink="">
      <xdr:nvSpPr>
        <xdr:cNvPr id="926" name="Text Box 219">
          <a:extLst>
            <a:ext uri="{FF2B5EF4-FFF2-40B4-BE49-F238E27FC236}">
              <a16:creationId xmlns:a16="http://schemas.microsoft.com/office/drawing/2014/main" id="{00000000-0008-0000-0F00-00009E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8</xdr:col>
      <xdr:colOff>0</xdr:colOff>
      <xdr:row>18</xdr:row>
      <xdr:rowOff>0</xdr:rowOff>
    </xdr:from>
    <xdr:ext cx="123825" cy="677636"/>
    <xdr:sp macro="" textlink="">
      <xdr:nvSpPr>
        <xdr:cNvPr id="927" name="Text Box 220">
          <a:extLst>
            <a:ext uri="{FF2B5EF4-FFF2-40B4-BE49-F238E27FC236}">
              <a16:creationId xmlns:a16="http://schemas.microsoft.com/office/drawing/2014/main" id="{00000000-0008-0000-0F00-00009F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8</xdr:col>
      <xdr:colOff>0</xdr:colOff>
      <xdr:row>18</xdr:row>
      <xdr:rowOff>0</xdr:rowOff>
    </xdr:from>
    <xdr:ext cx="123825" cy="677636"/>
    <xdr:sp macro="" textlink="">
      <xdr:nvSpPr>
        <xdr:cNvPr id="928" name="Text Box 221">
          <a:extLst>
            <a:ext uri="{FF2B5EF4-FFF2-40B4-BE49-F238E27FC236}">
              <a16:creationId xmlns:a16="http://schemas.microsoft.com/office/drawing/2014/main" id="{00000000-0008-0000-0F00-0000A0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8</xdr:col>
      <xdr:colOff>0</xdr:colOff>
      <xdr:row>18</xdr:row>
      <xdr:rowOff>0</xdr:rowOff>
    </xdr:from>
    <xdr:ext cx="123825" cy="677636"/>
    <xdr:sp macro="" textlink="">
      <xdr:nvSpPr>
        <xdr:cNvPr id="929" name="Text Box 222">
          <a:extLst>
            <a:ext uri="{FF2B5EF4-FFF2-40B4-BE49-F238E27FC236}">
              <a16:creationId xmlns:a16="http://schemas.microsoft.com/office/drawing/2014/main" id="{00000000-0008-0000-0F00-0000A1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8</xdr:col>
      <xdr:colOff>0</xdr:colOff>
      <xdr:row>18</xdr:row>
      <xdr:rowOff>0</xdr:rowOff>
    </xdr:from>
    <xdr:ext cx="123825" cy="677636"/>
    <xdr:sp macro="" textlink="">
      <xdr:nvSpPr>
        <xdr:cNvPr id="930" name="Text Box 223">
          <a:extLst>
            <a:ext uri="{FF2B5EF4-FFF2-40B4-BE49-F238E27FC236}">
              <a16:creationId xmlns:a16="http://schemas.microsoft.com/office/drawing/2014/main" id="{00000000-0008-0000-0F00-0000A2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8</xdr:col>
      <xdr:colOff>0</xdr:colOff>
      <xdr:row>18</xdr:row>
      <xdr:rowOff>0</xdr:rowOff>
    </xdr:from>
    <xdr:ext cx="114300" cy="678997"/>
    <xdr:sp macro="" textlink="">
      <xdr:nvSpPr>
        <xdr:cNvPr id="931" name="Text Box 224">
          <a:extLst>
            <a:ext uri="{FF2B5EF4-FFF2-40B4-BE49-F238E27FC236}">
              <a16:creationId xmlns:a16="http://schemas.microsoft.com/office/drawing/2014/main" id="{00000000-0008-0000-0F00-0000A3030000}"/>
            </a:ext>
          </a:extLst>
        </xdr:cNvPr>
        <xdr:cNvSpPr txBox="1">
          <a:spLocks noChangeArrowheads="1"/>
        </xdr:cNvSpPr>
      </xdr:nvSpPr>
      <xdr:spPr bwMode="auto">
        <a:xfrm>
          <a:off x="3102429" y="9225643"/>
          <a:ext cx="114300" cy="678997"/>
        </a:xfrm>
        <a:prstGeom prst="rect">
          <a:avLst/>
        </a:prstGeom>
        <a:noFill/>
        <a:ln w="9525">
          <a:noFill/>
          <a:miter lim="800000"/>
          <a:headEnd/>
          <a:tailEnd/>
        </a:ln>
      </xdr:spPr>
    </xdr:sp>
    <xdr:clientData/>
  </xdr:oneCellAnchor>
  <xdr:oneCellAnchor>
    <xdr:from>
      <xdr:col>8</xdr:col>
      <xdr:colOff>0</xdr:colOff>
      <xdr:row>18</xdr:row>
      <xdr:rowOff>0</xdr:rowOff>
    </xdr:from>
    <xdr:ext cx="123825" cy="678997"/>
    <xdr:sp macro="" textlink="">
      <xdr:nvSpPr>
        <xdr:cNvPr id="932" name="Text Box 226">
          <a:extLst>
            <a:ext uri="{FF2B5EF4-FFF2-40B4-BE49-F238E27FC236}">
              <a16:creationId xmlns:a16="http://schemas.microsoft.com/office/drawing/2014/main" id="{00000000-0008-0000-0F00-0000A4030000}"/>
            </a:ext>
          </a:extLst>
        </xdr:cNvPr>
        <xdr:cNvSpPr txBox="1">
          <a:spLocks noChangeArrowheads="1"/>
        </xdr:cNvSpPr>
      </xdr:nvSpPr>
      <xdr:spPr bwMode="auto">
        <a:xfrm>
          <a:off x="3102429" y="9225643"/>
          <a:ext cx="123825" cy="678997"/>
        </a:xfrm>
        <a:prstGeom prst="rect">
          <a:avLst/>
        </a:prstGeom>
        <a:noFill/>
        <a:ln w="9525">
          <a:noFill/>
          <a:miter lim="800000"/>
          <a:headEnd/>
          <a:tailEnd/>
        </a:ln>
      </xdr:spPr>
    </xdr:sp>
    <xdr:clientData/>
  </xdr:oneCellAnchor>
  <xdr:oneCellAnchor>
    <xdr:from>
      <xdr:col>8</xdr:col>
      <xdr:colOff>0</xdr:colOff>
      <xdr:row>18</xdr:row>
      <xdr:rowOff>0</xdr:rowOff>
    </xdr:from>
    <xdr:ext cx="123825" cy="678997"/>
    <xdr:sp macro="" textlink="">
      <xdr:nvSpPr>
        <xdr:cNvPr id="933" name="Text Box 227">
          <a:extLst>
            <a:ext uri="{FF2B5EF4-FFF2-40B4-BE49-F238E27FC236}">
              <a16:creationId xmlns:a16="http://schemas.microsoft.com/office/drawing/2014/main" id="{00000000-0008-0000-0F00-0000A5030000}"/>
            </a:ext>
          </a:extLst>
        </xdr:cNvPr>
        <xdr:cNvSpPr txBox="1">
          <a:spLocks noChangeArrowheads="1"/>
        </xdr:cNvSpPr>
      </xdr:nvSpPr>
      <xdr:spPr bwMode="auto">
        <a:xfrm>
          <a:off x="3102429" y="9225643"/>
          <a:ext cx="123825" cy="678997"/>
        </a:xfrm>
        <a:prstGeom prst="rect">
          <a:avLst/>
        </a:prstGeom>
        <a:noFill/>
        <a:ln w="9525">
          <a:noFill/>
          <a:miter lim="800000"/>
          <a:headEnd/>
          <a:tailEnd/>
        </a:ln>
      </xdr:spPr>
    </xdr:sp>
    <xdr:clientData/>
  </xdr:oneCellAnchor>
  <xdr:oneCellAnchor>
    <xdr:from>
      <xdr:col>8</xdr:col>
      <xdr:colOff>0</xdr:colOff>
      <xdr:row>18</xdr:row>
      <xdr:rowOff>0</xdr:rowOff>
    </xdr:from>
    <xdr:ext cx="123825" cy="678997"/>
    <xdr:sp macro="" textlink="">
      <xdr:nvSpPr>
        <xdr:cNvPr id="934" name="Text Box 228">
          <a:extLst>
            <a:ext uri="{FF2B5EF4-FFF2-40B4-BE49-F238E27FC236}">
              <a16:creationId xmlns:a16="http://schemas.microsoft.com/office/drawing/2014/main" id="{00000000-0008-0000-0F00-0000A6030000}"/>
            </a:ext>
          </a:extLst>
        </xdr:cNvPr>
        <xdr:cNvSpPr txBox="1">
          <a:spLocks noChangeArrowheads="1"/>
        </xdr:cNvSpPr>
      </xdr:nvSpPr>
      <xdr:spPr bwMode="auto">
        <a:xfrm>
          <a:off x="3102429" y="9225643"/>
          <a:ext cx="123825" cy="678997"/>
        </a:xfrm>
        <a:prstGeom prst="rect">
          <a:avLst/>
        </a:prstGeom>
        <a:noFill/>
        <a:ln w="9525">
          <a:noFill/>
          <a:miter lim="800000"/>
          <a:headEnd/>
          <a:tailEnd/>
        </a:ln>
      </xdr:spPr>
    </xdr:sp>
    <xdr:clientData/>
  </xdr:oneCellAnchor>
  <xdr:oneCellAnchor>
    <xdr:from>
      <xdr:col>8</xdr:col>
      <xdr:colOff>0</xdr:colOff>
      <xdr:row>18</xdr:row>
      <xdr:rowOff>0</xdr:rowOff>
    </xdr:from>
    <xdr:ext cx="123825" cy="678997"/>
    <xdr:sp macro="" textlink="">
      <xdr:nvSpPr>
        <xdr:cNvPr id="935" name="Text Box 229">
          <a:extLst>
            <a:ext uri="{FF2B5EF4-FFF2-40B4-BE49-F238E27FC236}">
              <a16:creationId xmlns:a16="http://schemas.microsoft.com/office/drawing/2014/main" id="{00000000-0008-0000-0F00-0000A7030000}"/>
            </a:ext>
          </a:extLst>
        </xdr:cNvPr>
        <xdr:cNvSpPr txBox="1">
          <a:spLocks noChangeArrowheads="1"/>
        </xdr:cNvSpPr>
      </xdr:nvSpPr>
      <xdr:spPr bwMode="auto">
        <a:xfrm>
          <a:off x="3102429" y="9225643"/>
          <a:ext cx="123825" cy="678997"/>
        </a:xfrm>
        <a:prstGeom prst="rect">
          <a:avLst/>
        </a:prstGeom>
        <a:noFill/>
        <a:ln w="9525">
          <a:noFill/>
          <a:miter lim="800000"/>
          <a:headEnd/>
          <a:tailEnd/>
        </a:ln>
      </xdr:spPr>
    </xdr:sp>
    <xdr:clientData/>
  </xdr:oneCellAnchor>
  <xdr:oneCellAnchor>
    <xdr:from>
      <xdr:col>8</xdr:col>
      <xdr:colOff>0</xdr:colOff>
      <xdr:row>18</xdr:row>
      <xdr:rowOff>0</xdr:rowOff>
    </xdr:from>
    <xdr:ext cx="123825" cy="677636"/>
    <xdr:sp macro="" textlink="">
      <xdr:nvSpPr>
        <xdr:cNvPr id="936" name="Text Box 230">
          <a:extLst>
            <a:ext uri="{FF2B5EF4-FFF2-40B4-BE49-F238E27FC236}">
              <a16:creationId xmlns:a16="http://schemas.microsoft.com/office/drawing/2014/main" id="{00000000-0008-0000-0F00-0000A8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8</xdr:col>
      <xdr:colOff>0</xdr:colOff>
      <xdr:row>18</xdr:row>
      <xdr:rowOff>0</xdr:rowOff>
    </xdr:from>
    <xdr:ext cx="123825" cy="677636"/>
    <xdr:sp macro="" textlink="">
      <xdr:nvSpPr>
        <xdr:cNvPr id="937" name="Text Box 231">
          <a:extLst>
            <a:ext uri="{FF2B5EF4-FFF2-40B4-BE49-F238E27FC236}">
              <a16:creationId xmlns:a16="http://schemas.microsoft.com/office/drawing/2014/main" id="{00000000-0008-0000-0F00-0000A9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8</xdr:col>
      <xdr:colOff>0</xdr:colOff>
      <xdr:row>18</xdr:row>
      <xdr:rowOff>0</xdr:rowOff>
    </xdr:from>
    <xdr:ext cx="123825" cy="677636"/>
    <xdr:sp macro="" textlink="">
      <xdr:nvSpPr>
        <xdr:cNvPr id="938" name="Text Box 232">
          <a:extLst>
            <a:ext uri="{FF2B5EF4-FFF2-40B4-BE49-F238E27FC236}">
              <a16:creationId xmlns:a16="http://schemas.microsoft.com/office/drawing/2014/main" id="{00000000-0008-0000-0F00-0000AA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8</xdr:col>
      <xdr:colOff>0</xdr:colOff>
      <xdr:row>18</xdr:row>
      <xdr:rowOff>0</xdr:rowOff>
    </xdr:from>
    <xdr:ext cx="123825" cy="677636"/>
    <xdr:sp macro="" textlink="">
      <xdr:nvSpPr>
        <xdr:cNvPr id="939" name="Text Box 233">
          <a:extLst>
            <a:ext uri="{FF2B5EF4-FFF2-40B4-BE49-F238E27FC236}">
              <a16:creationId xmlns:a16="http://schemas.microsoft.com/office/drawing/2014/main" id="{00000000-0008-0000-0F00-0000AB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8</xdr:col>
      <xdr:colOff>0</xdr:colOff>
      <xdr:row>18</xdr:row>
      <xdr:rowOff>0</xdr:rowOff>
    </xdr:from>
    <xdr:ext cx="123825" cy="677636"/>
    <xdr:sp macro="" textlink="">
      <xdr:nvSpPr>
        <xdr:cNvPr id="940" name="Text Box 234">
          <a:extLst>
            <a:ext uri="{FF2B5EF4-FFF2-40B4-BE49-F238E27FC236}">
              <a16:creationId xmlns:a16="http://schemas.microsoft.com/office/drawing/2014/main" id="{00000000-0008-0000-0F00-0000AC030000}"/>
            </a:ext>
          </a:extLst>
        </xdr:cNvPr>
        <xdr:cNvSpPr txBox="1">
          <a:spLocks noChangeArrowheads="1"/>
        </xdr:cNvSpPr>
      </xdr:nvSpPr>
      <xdr:spPr bwMode="auto">
        <a:xfrm>
          <a:off x="3102429" y="9225643"/>
          <a:ext cx="123825" cy="67763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941" name="Text Box 197">
          <a:extLst>
            <a:ext uri="{FF2B5EF4-FFF2-40B4-BE49-F238E27FC236}">
              <a16:creationId xmlns:a16="http://schemas.microsoft.com/office/drawing/2014/main" id="{00000000-0008-0000-0F00-0000AD03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942" name="Text Box 198">
          <a:extLst>
            <a:ext uri="{FF2B5EF4-FFF2-40B4-BE49-F238E27FC236}">
              <a16:creationId xmlns:a16="http://schemas.microsoft.com/office/drawing/2014/main" id="{00000000-0008-0000-0F00-0000AE03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943" name="Text Box 199">
          <a:extLst>
            <a:ext uri="{FF2B5EF4-FFF2-40B4-BE49-F238E27FC236}">
              <a16:creationId xmlns:a16="http://schemas.microsoft.com/office/drawing/2014/main" id="{00000000-0008-0000-0F00-0000AF03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944" name="Text Box 200">
          <a:extLst>
            <a:ext uri="{FF2B5EF4-FFF2-40B4-BE49-F238E27FC236}">
              <a16:creationId xmlns:a16="http://schemas.microsoft.com/office/drawing/2014/main" id="{00000000-0008-0000-0F00-0000B003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945" name="Text Box 201">
          <a:extLst>
            <a:ext uri="{FF2B5EF4-FFF2-40B4-BE49-F238E27FC236}">
              <a16:creationId xmlns:a16="http://schemas.microsoft.com/office/drawing/2014/main" id="{00000000-0008-0000-0F00-0000B103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946" name="Text Box 202">
          <a:extLst>
            <a:ext uri="{FF2B5EF4-FFF2-40B4-BE49-F238E27FC236}">
              <a16:creationId xmlns:a16="http://schemas.microsoft.com/office/drawing/2014/main" id="{00000000-0008-0000-0F00-0000B203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947" name="Text Box 203">
          <a:extLst>
            <a:ext uri="{FF2B5EF4-FFF2-40B4-BE49-F238E27FC236}">
              <a16:creationId xmlns:a16="http://schemas.microsoft.com/office/drawing/2014/main" id="{00000000-0008-0000-0F00-0000B303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948" name="Text Box 204">
          <a:extLst>
            <a:ext uri="{FF2B5EF4-FFF2-40B4-BE49-F238E27FC236}">
              <a16:creationId xmlns:a16="http://schemas.microsoft.com/office/drawing/2014/main" id="{00000000-0008-0000-0F00-0000B403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14300" cy="945696"/>
    <xdr:sp macro="" textlink="">
      <xdr:nvSpPr>
        <xdr:cNvPr id="949" name="Text Box 205">
          <a:extLst>
            <a:ext uri="{FF2B5EF4-FFF2-40B4-BE49-F238E27FC236}">
              <a16:creationId xmlns:a16="http://schemas.microsoft.com/office/drawing/2014/main" id="{00000000-0008-0000-0F00-0000B5030000}"/>
            </a:ext>
          </a:extLst>
        </xdr:cNvPr>
        <xdr:cNvSpPr txBox="1">
          <a:spLocks noChangeArrowheads="1"/>
        </xdr:cNvSpPr>
      </xdr:nvSpPr>
      <xdr:spPr bwMode="auto">
        <a:xfrm>
          <a:off x="3102429" y="5823857"/>
          <a:ext cx="114300" cy="945696"/>
        </a:xfrm>
        <a:prstGeom prst="rect">
          <a:avLst/>
        </a:prstGeom>
        <a:noFill/>
        <a:ln w="9525">
          <a:noFill/>
          <a:miter lim="800000"/>
          <a:headEnd/>
          <a:tailEnd/>
        </a:ln>
      </xdr:spPr>
    </xdr:sp>
    <xdr:clientData/>
  </xdr:oneCellAnchor>
  <xdr:oneCellAnchor>
    <xdr:from>
      <xdr:col>7</xdr:col>
      <xdr:colOff>0</xdr:colOff>
      <xdr:row>13</xdr:row>
      <xdr:rowOff>0</xdr:rowOff>
    </xdr:from>
    <xdr:ext cx="114300" cy="945696"/>
    <xdr:sp macro="" textlink="">
      <xdr:nvSpPr>
        <xdr:cNvPr id="950" name="Text Box 206">
          <a:extLst>
            <a:ext uri="{FF2B5EF4-FFF2-40B4-BE49-F238E27FC236}">
              <a16:creationId xmlns:a16="http://schemas.microsoft.com/office/drawing/2014/main" id="{00000000-0008-0000-0F00-0000B6030000}"/>
            </a:ext>
          </a:extLst>
        </xdr:cNvPr>
        <xdr:cNvSpPr txBox="1">
          <a:spLocks noChangeArrowheads="1"/>
        </xdr:cNvSpPr>
      </xdr:nvSpPr>
      <xdr:spPr bwMode="auto">
        <a:xfrm>
          <a:off x="3102429" y="5823857"/>
          <a:ext cx="114300" cy="945696"/>
        </a:xfrm>
        <a:prstGeom prst="rect">
          <a:avLst/>
        </a:prstGeom>
        <a:noFill/>
        <a:ln w="9525">
          <a:noFill/>
          <a:miter lim="800000"/>
          <a:headEnd/>
          <a:tailEnd/>
        </a:ln>
      </xdr:spPr>
    </xdr:sp>
    <xdr:clientData/>
  </xdr:oneCellAnchor>
  <xdr:oneCellAnchor>
    <xdr:from>
      <xdr:col>7</xdr:col>
      <xdr:colOff>0</xdr:colOff>
      <xdr:row>13</xdr:row>
      <xdr:rowOff>0</xdr:rowOff>
    </xdr:from>
    <xdr:ext cx="123825" cy="945696"/>
    <xdr:sp macro="" textlink="">
      <xdr:nvSpPr>
        <xdr:cNvPr id="951" name="Text Box 207">
          <a:extLst>
            <a:ext uri="{FF2B5EF4-FFF2-40B4-BE49-F238E27FC236}">
              <a16:creationId xmlns:a16="http://schemas.microsoft.com/office/drawing/2014/main" id="{00000000-0008-0000-0F00-0000B7030000}"/>
            </a:ext>
          </a:extLst>
        </xdr:cNvPr>
        <xdr:cNvSpPr txBox="1">
          <a:spLocks noChangeArrowheads="1"/>
        </xdr:cNvSpPr>
      </xdr:nvSpPr>
      <xdr:spPr bwMode="auto">
        <a:xfrm>
          <a:off x="3102429" y="5823857"/>
          <a:ext cx="123825" cy="945696"/>
        </a:xfrm>
        <a:prstGeom prst="rect">
          <a:avLst/>
        </a:prstGeom>
        <a:noFill/>
        <a:ln w="9525">
          <a:noFill/>
          <a:miter lim="800000"/>
          <a:headEnd/>
          <a:tailEnd/>
        </a:ln>
      </xdr:spPr>
    </xdr:sp>
    <xdr:clientData/>
  </xdr:oneCellAnchor>
  <xdr:oneCellAnchor>
    <xdr:from>
      <xdr:col>7</xdr:col>
      <xdr:colOff>0</xdr:colOff>
      <xdr:row>13</xdr:row>
      <xdr:rowOff>0</xdr:rowOff>
    </xdr:from>
    <xdr:ext cx="123825" cy="945696"/>
    <xdr:sp macro="" textlink="">
      <xdr:nvSpPr>
        <xdr:cNvPr id="952" name="Text Box 208">
          <a:extLst>
            <a:ext uri="{FF2B5EF4-FFF2-40B4-BE49-F238E27FC236}">
              <a16:creationId xmlns:a16="http://schemas.microsoft.com/office/drawing/2014/main" id="{00000000-0008-0000-0F00-0000B8030000}"/>
            </a:ext>
          </a:extLst>
        </xdr:cNvPr>
        <xdr:cNvSpPr txBox="1">
          <a:spLocks noChangeArrowheads="1"/>
        </xdr:cNvSpPr>
      </xdr:nvSpPr>
      <xdr:spPr bwMode="auto">
        <a:xfrm>
          <a:off x="3102429" y="5823857"/>
          <a:ext cx="123825" cy="945696"/>
        </a:xfrm>
        <a:prstGeom prst="rect">
          <a:avLst/>
        </a:prstGeom>
        <a:noFill/>
        <a:ln w="9525">
          <a:noFill/>
          <a:miter lim="800000"/>
          <a:headEnd/>
          <a:tailEnd/>
        </a:ln>
      </xdr:spPr>
    </xdr:sp>
    <xdr:clientData/>
  </xdr:oneCellAnchor>
  <xdr:oneCellAnchor>
    <xdr:from>
      <xdr:col>7</xdr:col>
      <xdr:colOff>0</xdr:colOff>
      <xdr:row>13</xdr:row>
      <xdr:rowOff>0</xdr:rowOff>
    </xdr:from>
    <xdr:ext cx="123825" cy="945696"/>
    <xdr:sp macro="" textlink="">
      <xdr:nvSpPr>
        <xdr:cNvPr id="953" name="Text Box 209">
          <a:extLst>
            <a:ext uri="{FF2B5EF4-FFF2-40B4-BE49-F238E27FC236}">
              <a16:creationId xmlns:a16="http://schemas.microsoft.com/office/drawing/2014/main" id="{00000000-0008-0000-0F00-0000B9030000}"/>
            </a:ext>
          </a:extLst>
        </xdr:cNvPr>
        <xdr:cNvSpPr txBox="1">
          <a:spLocks noChangeArrowheads="1"/>
        </xdr:cNvSpPr>
      </xdr:nvSpPr>
      <xdr:spPr bwMode="auto">
        <a:xfrm>
          <a:off x="3102429" y="5823857"/>
          <a:ext cx="123825" cy="945696"/>
        </a:xfrm>
        <a:prstGeom prst="rect">
          <a:avLst/>
        </a:prstGeom>
        <a:noFill/>
        <a:ln w="9525">
          <a:noFill/>
          <a:miter lim="800000"/>
          <a:headEnd/>
          <a:tailEnd/>
        </a:ln>
      </xdr:spPr>
    </xdr:sp>
    <xdr:clientData/>
  </xdr:oneCellAnchor>
  <xdr:oneCellAnchor>
    <xdr:from>
      <xdr:col>7</xdr:col>
      <xdr:colOff>0</xdr:colOff>
      <xdr:row>13</xdr:row>
      <xdr:rowOff>0</xdr:rowOff>
    </xdr:from>
    <xdr:ext cx="123825" cy="945696"/>
    <xdr:sp macro="" textlink="">
      <xdr:nvSpPr>
        <xdr:cNvPr id="954" name="Text Box 210">
          <a:extLst>
            <a:ext uri="{FF2B5EF4-FFF2-40B4-BE49-F238E27FC236}">
              <a16:creationId xmlns:a16="http://schemas.microsoft.com/office/drawing/2014/main" id="{00000000-0008-0000-0F00-0000BA030000}"/>
            </a:ext>
          </a:extLst>
        </xdr:cNvPr>
        <xdr:cNvSpPr txBox="1">
          <a:spLocks noChangeArrowheads="1"/>
        </xdr:cNvSpPr>
      </xdr:nvSpPr>
      <xdr:spPr bwMode="auto">
        <a:xfrm>
          <a:off x="3102429" y="5823857"/>
          <a:ext cx="123825" cy="9456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955" name="Text Box 211">
          <a:extLst>
            <a:ext uri="{FF2B5EF4-FFF2-40B4-BE49-F238E27FC236}">
              <a16:creationId xmlns:a16="http://schemas.microsoft.com/office/drawing/2014/main" id="{00000000-0008-0000-0F00-0000BB03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956" name="Text Box 212">
          <a:extLst>
            <a:ext uri="{FF2B5EF4-FFF2-40B4-BE49-F238E27FC236}">
              <a16:creationId xmlns:a16="http://schemas.microsoft.com/office/drawing/2014/main" id="{00000000-0008-0000-0F00-0000BC03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957" name="Text Box 213">
          <a:extLst>
            <a:ext uri="{FF2B5EF4-FFF2-40B4-BE49-F238E27FC236}">
              <a16:creationId xmlns:a16="http://schemas.microsoft.com/office/drawing/2014/main" id="{00000000-0008-0000-0F00-0000BD03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7</xdr:col>
      <xdr:colOff>0</xdr:colOff>
      <xdr:row>13</xdr:row>
      <xdr:rowOff>0</xdr:rowOff>
    </xdr:from>
    <xdr:ext cx="123825" cy="831396"/>
    <xdr:sp macro="" textlink="">
      <xdr:nvSpPr>
        <xdr:cNvPr id="958" name="Text Box 214">
          <a:extLst>
            <a:ext uri="{FF2B5EF4-FFF2-40B4-BE49-F238E27FC236}">
              <a16:creationId xmlns:a16="http://schemas.microsoft.com/office/drawing/2014/main" id="{00000000-0008-0000-0F00-0000BE030000}"/>
            </a:ext>
          </a:extLst>
        </xdr:cNvPr>
        <xdr:cNvSpPr txBox="1">
          <a:spLocks noChangeArrowheads="1"/>
        </xdr:cNvSpPr>
      </xdr:nvSpPr>
      <xdr:spPr bwMode="auto">
        <a:xfrm>
          <a:off x="3102429"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959" name="Text Box 197">
          <a:extLst>
            <a:ext uri="{FF2B5EF4-FFF2-40B4-BE49-F238E27FC236}">
              <a16:creationId xmlns:a16="http://schemas.microsoft.com/office/drawing/2014/main" id="{00000000-0008-0000-0F00-0000BF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960" name="Text Box 198">
          <a:extLst>
            <a:ext uri="{FF2B5EF4-FFF2-40B4-BE49-F238E27FC236}">
              <a16:creationId xmlns:a16="http://schemas.microsoft.com/office/drawing/2014/main" id="{00000000-0008-0000-0F00-0000C0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961" name="Text Box 199">
          <a:extLst>
            <a:ext uri="{FF2B5EF4-FFF2-40B4-BE49-F238E27FC236}">
              <a16:creationId xmlns:a16="http://schemas.microsoft.com/office/drawing/2014/main" id="{00000000-0008-0000-0F00-0000C1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962" name="Text Box 200">
          <a:extLst>
            <a:ext uri="{FF2B5EF4-FFF2-40B4-BE49-F238E27FC236}">
              <a16:creationId xmlns:a16="http://schemas.microsoft.com/office/drawing/2014/main" id="{00000000-0008-0000-0F00-0000C2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963" name="Text Box 201">
          <a:extLst>
            <a:ext uri="{FF2B5EF4-FFF2-40B4-BE49-F238E27FC236}">
              <a16:creationId xmlns:a16="http://schemas.microsoft.com/office/drawing/2014/main" id="{00000000-0008-0000-0F00-0000C3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964" name="Text Box 202">
          <a:extLst>
            <a:ext uri="{FF2B5EF4-FFF2-40B4-BE49-F238E27FC236}">
              <a16:creationId xmlns:a16="http://schemas.microsoft.com/office/drawing/2014/main" id="{00000000-0008-0000-0F00-0000C4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965" name="Text Box 203">
          <a:extLst>
            <a:ext uri="{FF2B5EF4-FFF2-40B4-BE49-F238E27FC236}">
              <a16:creationId xmlns:a16="http://schemas.microsoft.com/office/drawing/2014/main" id="{00000000-0008-0000-0F00-0000C5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966" name="Text Box 204">
          <a:extLst>
            <a:ext uri="{FF2B5EF4-FFF2-40B4-BE49-F238E27FC236}">
              <a16:creationId xmlns:a16="http://schemas.microsoft.com/office/drawing/2014/main" id="{00000000-0008-0000-0F00-0000C6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14300" cy="945696"/>
    <xdr:sp macro="" textlink="">
      <xdr:nvSpPr>
        <xdr:cNvPr id="967" name="Text Box 205">
          <a:extLst>
            <a:ext uri="{FF2B5EF4-FFF2-40B4-BE49-F238E27FC236}">
              <a16:creationId xmlns:a16="http://schemas.microsoft.com/office/drawing/2014/main" id="{00000000-0008-0000-0F00-0000C7030000}"/>
            </a:ext>
          </a:extLst>
        </xdr:cNvPr>
        <xdr:cNvSpPr txBox="1">
          <a:spLocks noChangeArrowheads="1"/>
        </xdr:cNvSpPr>
      </xdr:nvSpPr>
      <xdr:spPr bwMode="auto">
        <a:xfrm>
          <a:off x="5619750" y="5823857"/>
          <a:ext cx="114300" cy="945696"/>
        </a:xfrm>
        <a:prstGeom prst="rect">
          <a:avLst/>
        </a:prstGeom>
        <a:noFill/>
        <a:ln w="9525">
          <a:noFill/>
          <a:miter lim="800000"/>
          <a:headEnd/>
          <a:tailEnd/>
        </a:ln>
      </xdr:spPr>
    </xdr:sp>
    <xdr:clientData/>
  </xdr:oneCellAnchor>
  <xdr:oneCellAnchor>
    <xdr:from>
      <xdr:col>9</xdr:col>
      <xdr:colOff>0</xdr:colOff>
      <xdr:row>13</xdr:row>
      <xdr:rowOff>0</xdr:rowOff>
    </xdr:from>
    <xdr:ext cx="114300" cy="945696"/>
    <xdr:sp macro="" textlink="">
      <xdr:nvSpPr>
        <xdr:cNvPr id="968" name="Text Box 206">
          <a:extLst>
            <a:ext uri="{FF2B5EF4-FFF2-40B4-BE49-F238E27FC236}">
              <a16:creationId xmlns:a16="http://schemas.microsoft.com/office/drawing/2014/main" id="{00000000-0008-0000-0F00-0000C8030000}"/>
            </a:ext>
          </a:extLst>
        </xdr:cNvPr>
        <xdr:cNvSpPr txBox="1">
          <a:spLocks noChangeArrowheads="1"/>
        </xdr:cNvSpPr>
      </xdr:nvSpPr>
      <xdr:spPr bwMode="auto">
        <a:xfrm>
          <a:off x="5619750" y="5823857"/>
          <a:ext cx="114300" cy="945696"/>
        </a:xfrm>
        <a:prstGeom prst="rect">
          <a:avLst/>
        </a:prstGeom>
        <a:noFill/>
        <a:ln w="9525">
          <a:noFill/>
          <a:miter lim="800000"/>
          <a:headEnd/>
          <a:tailEnd/>
        </a:ln>
      </xdr:spPr>
    </xdr:sp>
    <xdr:clientData/>
  </xdr:oneCellAnchor>
  <xdr:oneCellAnchor>
    <xdr:from>
      <xdr:col>9</xdr:col>
      <xdr:colOff>0</xdr:colOff>
      <xdr:row>13</xdr:row>
      <xdr:rowOff>0</xdr:rowOff>
    </xdr:from>
    <xdr:ext cx="123825" cy="945696"/>
    <xdr:sp macro="" textlink="">
      <xdr:nvSpPr>
        <xdr:cNvPr id="969" name="Text Box 207">
          <a:extLst>
            <a:ext uri="{FF2B5EF4-FFF2-40B4-BE49-F238E27FC236}">
              <a16:creationId xmlns:a16="http://schemas.microsoft.com/office/drawing/2014/main" id="{00000000-0008-0000-0F00-0000C9030000}"/>
            </a:ext>
          </a:extLst>
        </xdr:cNvPr>
        <xdr:cNvSpPr txBox="1">
          <a:spLocks noChangeArrowheads="1"/>
        </xdr:cNvSpPr>
      </xdr:nvSpPr>
      <xdr:spPr bwMode="auto">
        <a:xfrm>
          <a:off x="5619750" y="5823857"/>
          <a:ext cx="123825" cy="945696"/>
        </a:xfrm>
        <a:prstGeom prst="rect">
          <a:avLst/>
        </a:prstGeom>
        <a:noFill/>
        <a:ln w="9525">
          <a:noFill/>
          <a:miter lim="800000"/>
          <a:headEnd/>
          <a:tailEnd/>
        </a:ln>
      </xdr:spPr>
    </xdr:sp>
    <xdr:clientData/>
  </xdr:oneCellAnchor>
  <xdr:oneCellAnchor>
    <xdr:from>
      <xdr:col>9</xdr:col>
      <xdr:colOff>0</xdr:colOff>
      <xdr:row>13</xdr:row>
      <xdr:rowOff>0</xdr:rowOff>
    </xdr:from>
    <xdr:ext cx="123825" cy="945696"/>
    <xdr:sp macro="" textlink="">
      <xdr:nvSpPr>
        <xdr:cNvPr id="970" name="Text Box 208">
          <a:extLst>
            <a:ext uri="{FF2B5EF4-FFF2-40B4-BE49-F238E27FC236}">
              <a16:creationId xmlns:a16="http://schemas.microsoft.com/office/drawing/2014/main" id="{00000000-0008-0000-0F00-0000CA030000}"/>
            </a:ext>
          </a:extLst>
        </xdr:cNvPr>
        <xdr:cNvSpPr txBox="1">
          <a:spLocks noChangeArrowheads="1"/>
        </xdr:cNvSpPr>
      </xdr:nvSpPr>
      <xdr:spPr bwMode="auto">
        <a:xfrm>
          <a:off x="5619750" y="5823857"/>
          <a:ext cx="123825" cy="945696"/>
        </a:xfrm>
        <a:prstGeom prst="rect">
          <a:avLst/>
        </a:prstGeom>
        <a:noFill/>
        <a:ln w="9525">
          <a:noFill/>
          <a:miter lim="800000"/>
          <a:headEnd/>
          <a:tailEnd/>
        </a:ln>
      </xdr:spPr>
    </xdr:sp>
    <xdr:clientData/>
  </xdr:oneCellAnchor>
  <xdr:oneCellAnchor>
    <xdr:from>
      <xdr:col>9</xdr:col>
      <xdr:colOff>0</xdr:colOff>
      <xdr:row>13</xdr:row>
      <xdr:rowOff>0</xdr:rowOff>
    </xdr:from>
    <xdr:ext cx="123825" cy="945696"/>
    <xdr:sp macro="" textlink="">
      <xdr:nvSpPr>
        <xdr:cNvPr id="971" name="Text Box 209">
          <a:extLst>
            <a:ext uri="{FF2B5EF4-FFF2-40B4-BE49-F238E27FC236}">
              <a16:creationId xmlns:a16="http://schemas.microsoft.com/office/drawing/2014/main" id="{00000000-0008-0000-0F00-0000CB030000}"/>
            </a:ext>
          </a:extLst>
        </xdr:cNvPr>
        <xdr:cNvSpPr txBox="1">
          <a:spLocks noChangeArrowheads="1"/>
        </xdr:cNvSpPr>
      </xdr:nvSpPr>
      <xdr:spPr bwMode="auto">
        <a:xfrm>
          <a:off x="5619750" y="5823857"/>
          <a:ext cx="123825" cy="945696"/>
        </a:xfrm>
        <a:prstGeom prst="rect">
          <a:avLst/>
        </a:prstGeom>
        <a:noFill/>
        <a:ln w="9525">
          <a:noFill/>
          <a:miter lim="800000"/>
          <a:headEnd/>
          <a:tailEnd/>
        </a:ln>
      </xdr:spPr>
    </xdr:sp>
    <xdr:clientData/>
  </xdr:oneCellAnchor>
  <xdr:oneCellAnchor>
    <xdr:from>
      <xdr:col>9</xdr:col>
      <xdr:colOff>0</xdr:colOff>
      <xdr:row>13</xdr:row>
      <xdr:rowOff>0</xdr:rowOff>
    </xdr:from>
    <xdr:ext cx="123825" cy="945696"/>
    <xdr:sp macro="" textlink="">
      <xdr:nvSpPr>
        <xdr:cNvPr id="972" name="Text Box 210">
          <a:extLst>
            <a:ext uri="{FF2B5EF4-FFF2-40B4-BE49-F238E27FC236}">
              <a16:creationId xmlns:a16="http://schemas.microsoft.com/office/drawing/2014/main" id="{00000000-0008-0000-0F00-0000CC030000}"/>
            </a:ext>
          </a:extLst>
        </xdr:cNvPr>
        <xdr:cNvSpPr txBox="1">
          <a:spLocks noChangeArrowheads="1"/>
        </xdr:cNvSpPr>
      </xdr:nvSpPr>
      <xdr:spPr bwMode="auto">
        <a:xfrm>
          <a:off x="5619750" y="5823857"/>
          <a:ext cx="123825" cy="9456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973" name="Text Box 211">
          <a:extLst>
            <a:ext uri="{FF2B5EF4-FFF2-40B4-BE49-F238E27FC236}">
              <a16:creationId xmlns:a16="http://schemas.microsoft.com/office/drawing/2014/main" id="{00000000-0008-0000-0F00-0000CD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974" name="Text Box 212">
          <a:extLst>
            <a:ext uri="{FF2B5EF4-FFF2-40B4-BE49-F238E27FC236}">
              <a16:creationId xmlns:a16="http://schemas.microsoft.com/office/drawing/2014/main" id="{00000000-0008-0000-0F00-0000CE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975" name="Text Box 213">
          <a:extLst>
            <a:ext uri="{FF2B5EF4-FFF2-40B4-BE49-F238E27FC236}">
              <a16:creationId xmlns:a16="http://schemas.microsoft.com/office/drawing/2014/main" id="{00000000-0008-0000-0F00-0000CF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9</xdr:col>
      <xdr:colOff>0</xdr:colOff>
      <xdr:row>13</xdr:row>
      <xdr:rowOff>0</xdr:rowOff>
    </xdr:from>
    <xdr:ext cx="123825" cy="831396"/>
    <xdr:sp macro="" textlink="">
      <xdr:nvSpPr>
        <xdr:cNvPr id="976" name="Text Box 214">
          <a:extLst>
            <a:ext uri="{FF2B5EF4-FFF2-40B4-BE49-F238E27FC236}">
              <a16:creationId xmlns:a16="http://schemas.microsoft.com/office/drawing/2014/main" id="{00000000-0008-0000-0F00-0000D0030000}"/>
            </a:ext>
          </a:extLst>
        </xdr:cNvPr>
        <xdr:cNvSpPr txBox="1">
          <a:spLocks noChangeArrowheads="1"/>
        </xdr:cNvSpPr>
      </xdr:nvSpPr>
      <xdr:spPr bwMode="auto">
        <a:xfrm>
          <a:off x="5619750" y="5823857"/>
          <a:ext cx="123825" cy="831396"/>
        </a:xfrm>
        <a:prstGeom prst="rect">
          <a:avLst/>
        </a:prstGeom>
        <a:noFill/>
        <a:ln w="9525">
          <a:noFill/>
          <a:miter lim="800000"/>
          <a:headEnd/>
          <a:tailEnd/>
        </a:ln>
      </xdr:spPr>
    </xdr:sp>
    <xdr:clientData/>
  </xdr:oneCellAnchor>
  <xdr:oneCellAnchor>
    <xdr:from>
      <xdr:col>4</xdr:col>
      <xdr:colOff>1676400</xdr:colOff>
      <xdr:row>23</xdr:row>
      <xdr:rowOff>0</xdr:rowOff>
    </xdr:from>
    <xdr:ext cx="123825" cy="834118"/>
    <xdr:sp macro="" textlink="">
      <xdr:nvSpPr>
        <xdr:cNvPr id="977" name="Text Box 134">
          <a:extLst>
            <a:ext uri="{FF2B5EF4-FFF2-40B4-BE49-F238E27FC236}">
              <a16:creationId xmlns:a16="http://schemas.microsoft.com/office/drawing/2014/main" id="{00000000-0008-0000-0F00-0000D1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834118"/>
    <xdr:sp macro="" textlink="">
      <xdr:nvSpPr>
        <xdr:cNvPr id="978" name="Text Box 135">
          <a:extLst>
            <a:ext uri="{FF2B5EF4-FFF2-40B4-BE49-F238E27FC236}">
              <a16:creationId xmlns:a16="http://schemas.microsoft.com/office/drawing/2014/main" id="{00000000-0008-0000-0F00-0000D2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834118"/>
    <xdr:sp macro="" textlink="">
      <xdr:nvSpPr>
        <xdr:cNvPr id="979" name="Text Box 142">
          <a:extLst>
            <a:ext uri="{FF2B5EF4-FFF2-40B4-BE49-F238E27FC236}">
              <a16:creationId xmlns:a16="http://schemas.microsoft.com/office/drawing/2014/main" id="{00000000-0008-0000-0F00-0000D3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834118"/>
    <xdr:sp macro="" textlink="">
      <xdr:nvSpPr>
        <xdr:cNvPr id="980" name="Text Box 143">
          <a:extLst>
            <a:ext uri="{FF2B5EF4-FFF2-40B4-BE49-F238E27FC236}">
              <a16:creationId xmlns:a16="http://schemas.microsoft.com/office/drawing/2014/main" id="{00000000-0008-0000-0F00-0000D4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834118"/>
    <xdr:sp macro="" textlink="">
      <xdr:nvSpPr>
        <xdr:cNvPr id="981" name="Text Box 144">
          <a:extLst>
            <a:ext uri="{FF2B5EF4-FFF2-40B4-BE49-F238E27FC236}">
              <a16:creationId xmlns:a16="http://schemas.microsoft.com/office/drawing/2014/main" id="{00000000-0008-0000-0F00-0000D5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834118"/>
    <xdr:sp macro="" textlink="">
      <xdr:nvSpPr>
        <xdr:cNvPr id="982" name="Text Box 145">
          <a:extLst>
            <a:ext uri="{FF2B5EF4-FFF2-40B4-BE49-F238E27FC236}">
              <a16:creationId xmlns:a16="http://schemas.microsoft.com/office/drawing/2014/main" id="{00000000-0008-0000-0F00-0000D6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834118"/>
    <xdr:sp macro="" textlink="">
      <xdr:nvSpPr>
        <xdr:cNvPr id="983" name="Text Box 146">
          <a:extLst>
            <a:ext uri="{FF2B5EF4-FFF2-40B4-BE49-F238E27FC236}">
              <a16:creationId xmlns:a16="http://schemas.microsoft.com/office/drawing/2014/main" id="{00000000-0008-0000-0F00-0000D7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834118"/>
    <xdr:sp macro="" textlink="">
      <xdr:nvSpPr>
        <xdr:cNvPr id="984" name="Text Box 147">
          <a:extLst>
            <a:ext uri="{FF2B5EF4-FFF2-40B4-BE49-F238E27FC236}">
              <a16:creationId xmlns:a16="http://schemas.microsoft.com/office/drawing/2014/main" id="{00000000-0008-0000-0F00-0000D8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4</xdr:col>
      <xdr:colOff>1685925</xdr:colOff>
      <xdr:row>23</xdr:row>
      <xdr:rowOff>0</xdr:rowOff>
    </xdr:from>
    <xdr:ext cx="114300" cy="929368"/>
    <xdr:sp macro="" textlink="">
      <xdr:nvSpPr>
        <xdr:cNvPr id="985" name="Text Box 136">
          <a:extLst>
            <a:ext uri="{FF2B5EF4-FFF2-40B4-BE49-F238E27FC236}">
              <a16:creationId xmlns:a16="http://schemas.microsoft.com/office/drawing/2014/main" id="{00000000-0008-0000-0F00-0000D9030000}"/>
            </a:ext>
          </a:extLst>
        </xdr:cNvPr>
        <xdr:cNvSpPr txBox="1">
          <a:spLocks noChangeArrowheads="1"/>
        </xdr:cNvSpPr>
      </xdr:nvSpPr>
      <xdr:spPr bwMode="auto">
        <a:xfrm>
          <a:off x="3102429" y="10395857"/>
          <a:ext cx="114300" cy="929368"/>
        </a:xfrm>
        <a:prstGeom prst="rect">
          <a:avLst/>
        </a:prstGeom>
        <a:noFill/>
        <a:ln w="9525">
          <a:noFill/>
          <a:miter lim="800000"/>
          <a:headEnd/>
          <a:tailEnd/>
        </a:ln>
      </xdr:spPr>
    </xdr:sp>
    <xdr:clientData/>
  </xdr:oneCellAnchor>
  <xdr:oneCellAnchor>
    <xdr:from>
      <xdr:col>4</xdr:col>
      <xdr:colOff>1685925</xdr:colOff>
      <xdr:row>23</xdr:row>
      <xdr:rowOff>0</xdr:rowOff>
    </xdr:from>
    <xdr:ext cx="114300" cy="929368"/>
    <xdr:sp macro="" textlink="">
      <xdr:nvSpPr>
        <xdr:cNvPr id="986" name="Text Box 137">
          <a:extLst>
            <a:ext uri="{FF2B5EF4-FFF2-40B4-BE49-F238E27FC236}">
              <a16:creationId xmlns:a16="http://schemas.microsoft.com/office/drawing/2014/main" id="{00000000-0008-0000-0F00-0000DA030000}"/>
            </a:ext>
          </a:extLst>
        </xdr:cNvPr>
        <xdr:cNvSpPr txBox="1">
          <a:spLocks noChangeArrowheads="1"/>
        </xdr:cNvSpPr>
      </xdr:nvSpPr>
      <xdr:spPr bwMode="auto">
        <a:xfrm>
          <a:off x="3102429" y="10395857"/>
          <a:ext cx="114300" cy="92936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929368"/>
    <xdr:sp macro="" textlink="">
      <xdr:nvSpPr>
        <xdr:cNvPr id="987" name="Text Box 150">
          <a:extLst>
            <a:ext uri="{FF2B5EF4-FFF2-40B4-BE49-F238E27FC236}">
              <a16:creationId xmlns:a16="http://schemas.microsoft.com/office/drawing/2014/main" id="{00000000-0008-0000-0F00-0000DB030000}"/>
            </a:ext>
          </a:extLst>
        </xdr:cNvPr>
        <xdr:cNvSpPr txBox="1">
          <a:spLocks noChangeArrowheads="1"/>
        </xdr:cNvSpPr>
      </xdr:nvSpPr>
      <xdr:spPr bwMode="auto">
        <a:xfrm>
          <a:off x="3102429" y="10395857"/>
          <a:ext cx="123825" cy="92936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929368"/>
    <xdr:sp macro="" textlink="">
      <xdr:nvSpPr>
        <xdr:cNvPr id="988" name="Text Box 151">
          <a:extLst>
            <a:ext uri="{FF2B5EF4-FFF2-40B4-BE49-F238E27FC236}">
              <a16:creationId xmlns:a16="http://schemas.microsoft.com/office/drawing/2014/main" id="{00000000-0008-0000-0F00-0000DC030000}"/>
            </a:ext>
          </a:extLst>
        </xdr:cNvPr>
        <xdr:cNvSpPr txBox="1">
          <a:spLocks noChangeArrowheads="1"/>
        </xdr:cNvSpPr>
      </xdr:nvSpPr>
      <xdr:spPr bwMode="auto">
        <a:xfrm>
          <a:off x="3102429" y="10395857"/>
          <a:ext cx="123825" cy="92936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929368"/>
    <xdr:sp macro="" textlink="">
      <xdr:nvSpPr>
        <xdr:cNvPr id="989" name="Text Box 152">
          <a:extLst>
            <a:ext uri="{FF2B5EF4-FFF2-40B4-BE49-F238E27FC236}">
              <a16:creationId xmlns:a16="http://schemas.microsoft.com/office/drawing/2014/main" id="{00000000-0008-0000-0F00-0000DD030000}"/>
            </a:ext>
          </a:extLst>
        </xdr:cNvPr>
        <xdr:cNvSpPr txBox="1">
          <a:spLocks noChangeArrowheads="1"/>
        </xdr:cNvSpPr>
      </xdr:nvSpPr>
      <xdr:spPr bwMode="auto">
        <a:xfrm>
          <a:off x="3102429" y="10395857"/>
          <a:ext cx="123825" cy="92936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929368"/>
    <xdr:sp macro="" textlink="">
      <xdr:nvSpPr>
        <xdr:cNvPr id="990" name="Text Box 153">
          <a:extLst>
            <a:ext uri="{FF2B5EF4-FFF2-40B4-BE49-F238E27FC236}">
              <a16:creationId xmlns:a16="http://schemas.microsoft.com/office/drawing/2014/main" id="{00000000-0008-0000-0F00-0000DE030000}"/>
            </a:ext>
          </a:extLst>
        </xdr:cNvPr>
        <xdr:cNvSpPr txBox="1">
          <a:spLocks noChangeArrowheads="1"/>
        </xdr:cNvSpPr>
      </xdr:nvSpPr>
      <xdr:spPr bwMode="auto">
        <a:xfrm>
          <a:off x="3102429" y="10395857"/>
          <a:ext cx="123825" cy="92936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834118"/>
    <xdr:sp macro="" textlink="">
      <xdr:nvSpPr>
        <xdr:cNvPr id="991" name="Text Box 154">
          <a:extLst>
            <a:ext uri="{FF2B5EF4-FFF2-40B4-BE49-F238E27FC236}">
              <a16:creationId xmlns:a16="http://schemas.microsoft.com/office/drawing/2014/main" id="{00000000-0008-0000-0F00-0000DF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834118"/>
    <xdr:sp macro="" textlink="">
      <xdr:nvSpPr>
        <xdr:cNvPr id="992" name="Text Box 155">
          <a:extLst>
            <a:ext uri="{FF2B5EF4-FFF2-40B4-BE49-F238E27FC236}">
              <a16:creationId xmlns:a16="http://schemas.microsoft.com/office/drawing/2014/main" id="{00000000-0008-0000-0F00-0000E0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4</xdr:col>
      <xdr:colOff>1676400</xdr:colOff>
      <xdr:row>23</xdr:row>
      <xdr:rowOff>0</xdr:rowOff>
    </xdr:from>
    <xdr:ext cx="123825" cy="834118"/>
    <xdr:sp macro="" textlink="">
      <xdr:nvSpPr>
        <xdr:cNvPr id="993" name="Text Box 156">
          <a:extLst>
            <a:ext uri="{FF2B5EF4-FFF2-40B4-BE49-F238E27FC236}">
              <a16:creationId xmlns:a16="http://schemas.microsoft.com/office/drawing/2014/main" id="{00000000-0008-0000-0F00-0000E1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994" name="Text Box 159">
          <a:extLst>
            <a:ext uri="{FF2B5EF4-FFF2-40B4-BE49-F238E27FC236}">
              <a16:creationId xmlns:a16="http://schemas.microsoft.com/office/drawing/2014/main" id="{00000000-0008-0000-0F00-0000E2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995" name="Text Box 160">
          <a:extLst>
            <a:ext uri="{FF2B5EF4-FFF2-40B4-BE49-F238E27FC236}">
              <a16:creationId xmlns:a16="http://schemas.microsoft.com/office/drawing/2014/main" id="{00000000-0008-0000-0F00-0000E3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996" name="Text Box 161">
          <a:extLst>
            <a:ext uri="{FF2B5EF4-FFF2-40B4-BE49-F238E27FC236}">
              <a16:creationId xmlns:a16="http://schemas.microsoft.com/office/drawing/2014/main" id="{00000000-0008-0000-0F00-0000E4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997" name="Text Box 162">
          <a:extLst>
            <a:ext uri="{FF2B5EF4-FFF2-40B4-BE49-F238E27FC236}">
              <a16:creationId xmlns:a16="http://schemas.microsoft.com/office/drawing/2014/main" id="{00000000-0008-0000-0F00-0000E5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998" name="Text Box 163">
          <a:extLst>
            <a:ext uri="{FF2B5EF4-FFF2-40B4-BE49-F238E27FC236}">
              <a16:creationId xmlns:a16="http://schemas.microsoft.com/office/drawing/2014/main" id="{00000000-0008-0000-0F00-0000E6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999" name="Text Box 164">
          <a:extLst>
            <a:ext uri="{FF2B5EF4-FFF2-40B4-BE49-F238E27FC236}">
              <a16:creationId xmlns:a16="http://schemas.microsoft.com/office/drawing/2014/main" id="{00000000-0008-0000-0F00-0000E7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1000" name="Text Box 165">
          <a:extLst>
            <a:ext uri="{FF2B5EF4-FFF2-40B4-BE49-F238E27FC236}">
              <a16:creationId xmlns:a16="http://schemas.microsoft.com/office/drawing/2014/main" id="{00000000-0008-0000-0F00-0000E8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1001" name="Text Box 166">
          <a:extLst>
            <a:ext uri="{FF2B5EF4-FFF2-40B4-BE49-F238E27FC236}">
              <a16:creationId xmlns:a16="http://schemas.microsoft.com/office/drawing/2014/main" id="{00000000-0008-0000-0F00-0000E9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14300" cy="929368"/>
    <xdr:sp macro="" textlink="">
      <xdr:nvSpPr>
        <xdr:cNvPr id="1002" name="Text Box 167">
          <a:extLst>
            <a:ext uri="{FF2B5EF4-FFF2-40B4-BE49-F238E27FC236}">
              <a16:creationId xmlns:a16="http://schemas.microsoft.com/office/drawing/2014/main" id="{00000000-0008-0000-0F00-0000EA030000}"/>
            </a:ext>
          </a:extLst>
        </xdr:cNvPr>
        <xdr:cNvSpPr txBox="1">
          <a:spLocks noChangeArrowheads="1"/>
        </xdr:cNvSpPr>
      </xdr:nvSpPr>
      <xdr:spPr bwMode="auto">
        <a:xfrm>
          <a:off x="3102429" y="10395857"/>
          <a:ext cx="114300" cy="929368"/>
        </a:xfrm>
        <a:prstGeom prst="rect">
          <a:avLst/>
        </a:prstGeom>
        <a:noFill/>
        <a:ln w="9525">
          <a:noFill/>
          <a:miter lim="800000"/>
          <a:headEnd/>
          <a:tailEnd/>
        </a:ln>
      </xdr:spPr>
    </xdr:sp>
    <xdr:clientData/>
  </xdr:oneCellAnchor>
  <xdr:oneCellAnchor>
    <xdr:from>
      <xdr:col>8</xdr:col>
      <xdr:colOff>0</xdr:colOff>
      <xdr:row>23</xdr:row>
      <xdr:rowOff>0</xdr:rowOff>
    </xdr:from>
    <xdr:ext cx="114300" cy="929368"/>
    <xdr:sp macro="" textlink="">
      <xdr:nvSpPr>
        <xdr:cNvPr id="1003" name="Text Box 168">
          <a:extLst>
            <a:ext uri="{FF2B5EF4-FFF2-40B4-BE49-F238E27FC236}">
              <a16:creationId xmlns:a16="http://schemas.microsoft.com/office/drawing/2014/main" id="{00000000-0008-0000-0F00-0000EB030000}"/>
            </a:ext>
          </a:extLst>
        </xdr:cNvPr>
        <xdr:cNvSpPr txBox="1">
          <a:spLocks noChangeArrowheads="1"/>
        </xdr:cNvSpPr>
      </xdr:nvSpPr>
      <xdr:spPr bwMode="auto">
        <a:xfrm>
          <a:off x="3102429" y="10395857"/>
          <a:ext cx="114300" cy="929368"/>
        </a:xfrm>
        <a:prstGeom prst="rect">
          <a:avLst/>
        </a:prstGeom>
        <a:noFill/>
        <a:ln w="9525">
          <a:noFill/>
          <a:miter lim="800000"/>
          <a:headEnd/>
          <a:tailEnd/>
        </a:ln>
      </xdr:spPr>
    </xdr:sp>
    <xdr:clientData/>
  </xdr:oneCellAnchor>
  <xdr:oneCellAnchor>
    <xdr:from>
      <xdr:col>8</xdr:col>
      <xdr:colOff>0</xdr:colOff>
      <xdr:row>23</xdr:row>
      <xdr:rowOff>0</xdr:rowOff>
    </xdr:from>
    <xdr:ext cx="123825" cy="929368"/>
    <xdr:sp macro="" textlink="">
      <xdr:nvSpPr>
        <xdr:cNvPr id="1004" name="Text Box 169">
          <a:extLst>
            <a:ext uri="{FF2B5EF4-FFF2-40B4-BE49-F238E27FC236}">
              <a16:creationId xmlns:a16="http://schemas.microsoft.com/office/drawing/2014/main" id="{00000000-0008-0000-0F00-0000EC030000}"/>
            </a:ext>
          </a:extLst>
        </xdr:cNvPr>
        <xdr:cNvSpPr txBox="1">
          <a:spLocks noChangeArrowheads="1"/>
        </xdr:cNvSpPr>
      </xdr:nvSpPr>
      <xdr:spPr bwMode="auto">
        <a:xfrm>
          <a:off x="3102429" y="10395857"/>
          <a:ext cx="123825" cy="929368"/>
        </a:xfrm>
        <a:prstGeom prst="rect">
          <a:avLst/>
        </a:prstGeom>
        <a:noFill/>
        <a:ln w="9525">
          <a:noFill/>
          <a:miter lim="800000"/>
          <a:headEnd/>
          <a:tailEnd/>
        </a:ln>
      </xdr:spPr>
    </xdr:sp>
    <xdr:clientData/>
  </xdr:oneCellAnchor>
  <xdr:oneCellAnchor>
    <xdr:from>
      <xdr:col>8</xdr:col>
      <xdr:colOff>0</xdr:colOff>
      <xdr:row>23</xdr:row>
      <xdr:rowOff>0</xdr:rowOff>
    </xdr:from>
    <xdr:ext cx="123825" cy="929368"/>
    <xdr:sp macro="" textlink="">
      <xdr:nvSpPr>
        <xdr:cNvPr id="1005" name="Text Box 170">
          <a:extLst>
            <a:ext uri="{FF2B5EF4-FFF2-40B4-BE49-F238E27FC236}">
              <a16:creationId xmlns:a16="http://schemas.microsoft.com/office/drawing/2014/main" id="{00000000-0008-0000-0F00-0000ED030000}"/>
            </a:ext>
          </a:extLst>
        </xdr:cNvPr>
        <xdr:cNvSpPr txBox="1">
          <a:spLocks noChangeArrowheads="1"/>
        </xdr:cNvSpPr>
      </xdr:nvSpPr>
      <xdr:spPr bwMode="auto">
        <a:xfrm>
          <a:off x="3102429" y="10395857"/>
          <a:ext cx="123825" cy="929368"/>
        </a:xfrm>
        <a:prstGeom prst="rect">
          <a:avLst/>
        </a:prstGeom>
        <a:noFill/>
        <a:ln w="9525">
          <a:noFill/>
          <a:miter lim="800000"/>
          <a:headEnd/>
          <a:tailEnd/>
        </a:ln>
      </xdr:spPr>
    </xdr:sp>
    <xdr:clientData/>
  </xdr:oneCellAnchor>
  <xdr:oneCellAnchor>
    <xdr:from>
      <xdr:col>8</xdr:col>
      <xdr:colOff>0</xdr:colOff>
      <xdr:row>23</xdr:row>
      <xdr:rowOff>0</xdr:rowOff>
    </xdr:from>
    <xdr:ext cx="123825" cy="929368"/>
    <xdr:sp macro="" textlink="">
      <xdr:nvSpPr>
        <xdr:cNvPr id="1006" name="Text Box 171">
          <a:extLst>
            <a:ext uri="{FF2B5EF4-FFF2-40B4-BE49-F238E27FC236}">
              <a16:creationId xmlns:a16="http://schemas.microsoft.com/office/drawing/2014/main" id="{00000000-0008-0000-0F00-0000EE030000}"/>
            </a:ext>
          </a:extLst>
        </xdr:cNvPr>
        <xdr:cNvSpPr txBox="1">
          <a:spLocks noChangeArrowheads="1"/>
        </xdr:cNvSpPr>
      </xdr:nvSpPr>
      <xdr:spPr bwMode="auto">
        <a:xfrm>
          <a:off x="3102429" y="10395857"/>
          <a:ext cx="123825" cy="929368"/>
        </a:xfrm>
        <a:prstGeom prst="rect">
          <a:avLst/>
        </a:prstGeom>
        <a:noFill/>
        <a:ln w="9525">
          <a:noFill/>
          <a:miter lim="800000"/>
          <a:headEnd/>
          <a:tailEnd/>
        </a:ln>
      </xdr:spPr>
    </xdr:sp>
    <xdr:clientData/>
  </xdr:oneCellAnchor>
  <xdr:oneCellAnchor>
    <xdr:from>
      <xdr:col>8</xdr:col>
      <xdr:colOff>0</xdr:colOff>
      <xdr:row>23</xdr:row>
      <xdr:rowOff>0</xdr:rowOff>
    </xdr:from>
    <xdr:ext cx="123825" cy="929368"/>
    <xdr:sp macro="" textlink="">
      <xdr:nvSpPr>
        <xdr:cNvPr id="1007" name="Text Box 172">
          <a:extLst>
            <a:ext uri="{FF2B5EF4-FFF2-40B4-BE49-F238E27FC236}">
              <a16:creationId xmlns:a16="http://schemas.microsoft.com/office/drawing/2014/main" id="{00000000-0008-0000-0F00-0000EF030000}"/>
            </a:ext>
          </a:extLst>
        </xdr:cNvPr>
        <xdr:cNvSpPr txBox="1">
          <a:spLocks noChangeArrowheads="1"/>
        </xdr:cNvSpPr>
      </xdr:nvSpPr>
      <xdr:spPr bwMode="auto">
        <a:xfrm>
          <a:off x="3102429" y="10395857"/>
          <a:ext cx="123825" cy="92936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1008" name="Text Box 173">
          <a:extLst>
            <a:ext uri="{FF2B5EF4-FFF2-40B4-BE49-F238E27FC236}">
              <a16:creationId xmlns:a16="http://schemas.microsoft.com/office/drawing/2014/main" id="{00000000-0008-0000-0F00-0000F0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1009" name="Text Box 174">
          <a:extLst>
            <a:ext uri="{FF2B5EF4-FFF2-40B4-BE49-F238E27FC236}">
              <a16:creationId xmlns:a16="http://schemas.microsoft.com/office/drawing/2014/main" id="{00000000-0008-0000-0F00-0000F1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1010" name="Text Box 175">
          <a:extLst>
            <a:ext uri="{FF2B5EF4-FFF2-40B4-BE49-F238E27FC236}">
              <a16:creationId xmlns:a16="http://schemas.microsoft.com/office/drawing/2014/main" id="{00000000-0008-0000-0F00-0000F2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8</xdr:col>
      <xdr:colOff>0</xdr:colOff>
      <xdr:row>23</xdr:row>
      <xdr:rowOff>0</xdr:rowOff>
    </xdr:from>
    <xdr:ext cx="123825" cy="834118"/>
    <xdr:sp macro="" textlink="">
      <xdr:nvSpPr>
        <xdr:cNvPr id="1011" name="Text Box 176">
          <a:extLst>
            <a:ext uri="{FF2B5EF4-FFF2-40B4-BE49-F238E27FC236}">
              <a16:creationId xmlns:a16="http://schemas.microsoft.com/office/drawing/2014/main" id="{00000000-0008-0000-0F00-0000F3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23825" cy="834118"/>
    <xdr:sp macro="" textlink="">
      <xdr:nvSpPr>
        <xdr:cNvPr id="1012" name="Text Box 178">
          <a:extLst>
            <a:ext uri="{FF2B5EF4-FFF2-40B4-BE49-F238E27FC236}">
              <a16:creationId xmlns:a16="http://schemas.microsoft.com/office/drawing/2014/main" id="{00000000-0008-0000-0F00-0000F4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23825" cy="834118"/>
    <xdr:sp macro="" textlink="">
      <xdr:nvSpPr>
        <xdr:cNvPr id="1013" name="Text Box 179">
          <a:extLst>
            <a:ext uri="{FF2B5EF4-FFF2-40B4-BE49-F238E27FC236}">
              <a16:creationId xmlns:a16="http://schemas.microsoft.com/office/drawing/2014/main" id="{00000000-0008-0000-0F00-0000F5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23825" cy="834118"/>
    <xdr:sp macro="" textlink="">
      <xdr:nvSpPr>
        <xdr:cNvPr id="1014" name="Text Box 180">
          <a:extLst>
            <a:ext uri="{FF2B5EF4-FFF2-40B4-BE49-F238E27FC236}">
              <a16:creationId xmlns:a16="http://schemas.microsoft.com/office/drawing/2014/main" id="{00000000-0008-0000-0F00-0000F6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23825" cy="834118"/>
    <xdr:sp macro="" textlink="">
      <xdr:nvSpPr>
        <xdr:cNvPr id="1015" name="Text Box 181">
          <a:extLst>
            <a:ext uri="{FF2B5EF4-FFF2-40B4-BE49-F238E27FC236}">
              <a16:creationId xmlns:a16="http://schemas.microsoft.com/office/drawing/2014/main" id="{00000000-0008-0000-0F00-0000F7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23825" cy="834118"/>
    <xdr:sp macro="" textlink="">
      <xdr:nvSpPr>
        <xdr:cNvPr id="1016" name="Text Box 182">
          <a:extLst>
            <a:ext uri="{FF2B5EF4-FFF2-40B4-BE49-F238E27FC236}">
              <a16:creationId xmlns:a16="http://schemas.microsoft.com/office/drawing/2014/main" id="{00000000-0008-0000-0F00-0000F8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23825" cy="834118"/>
    <xdr:sp macro="" textlink="">
      <xdr:nvSpPr>
        <xdr:cNvPr id="1017" name="Text Box 183">
          <a:extLst>
            <a:ext uri="{FF2B5EF4-FFF2-40B4-BE49-F238E27FC236}">
              <a16:creationId xmlns:a16="http://schemas.microsoft.com/office/drawing/2014/main" id="{00000000-0008-0000-0F00-0000F9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23825" cy="834118"/>
    <xdr:sp macro="" textlink="">
      <xdr:nvSpPr>
        <xdr:cNvPr id="1018" name="Text Box 184">
          <a:extLst>
            <a:ext uri="{FF2B5EF4-FFF2-40B4-BE49-F238E27FC236}">
              <a16:creationId xmlns:a16="http://schemas.microsoft.com/office/drawing/2014/main" id="{00000000-0008-0000-0F00-0000FA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23825" cy="834118"/>
    <xdr:sp macro="" textlink="">
      <xdr:nvSpPr>
        <xdr:cNvPr id="1019" name="Text Box 185">
          <a:extLst>
            <a:ext uri="{FF2B5EF4-FFF2-40B4-BE49-F238E27FC236}">
              <a16:creationId xmlns:a16="http://schemas.microsoft.com/office/drawing/2014/main" id="{00000000-0008-0000-0F00-0000FB03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14300" cy="929368"/>
    <xdr:sp macro="" textlink="">
      <xdr:nvSpPr>
        <xdr:cNvPr id="1020" name="Text Box 186">
          <a:extLst>
            <a:ext uri="{FF2B5EF4-FFF2-40B4-BE49-F238E27FC236}">
              <a16:creationId xmlns:a16="http://schemas.microsoft.com/office/drawing/2014/main" id="{00000000-0008-0000-0F00-0000FC030000}"/>
            </a:ext>
          </a:extLst>
        </xdr:cNvPr>
        <xdr:cNvSpPr txBox="1">
          <a:spLocks noChangeArrowheads="1"/>
        </xdr:cNvSpPr>
      </xdr:nvSpPr>
      <xdr:spPr bwMode="auto">
        <a:xfrm>
          <a:off x="3102429" y="10395857"/>
          <a:ext cx="114300" cy="929368"/>
        </a:xfrm>
        <a:prstGeom prst="rect">
          <a:avLst/>
        </a:prstGeom>
        <a:noFill/>
        <a:ln w="9525">
          <a:noFill/>
          <a:miter lim="800000"/>
          <a:headEnd/>
          <a:tailEnd/>
        </a:ln>
      </xdr:spPr>
    </xdr:sp>
    <xdr:clientData/>
  </xdr:oneCellAnchor>
  <xdr:oneCellAnchor>
    <xdr:from>
      <xdr:col>7</xdr:col>
      <xdr:colOff>0</xdr:colOff>
      <xdr:row>23</xdr:row>
      <xdr:rowOff>0</xdr:rowOff>
    </xdr:from>
    <xdr:ext cx="114300" cy="929368"/>
    <xdr:sp macro="" textlink="">
      <xdr:nvSpPr>
        <xdr:cNvPr id="1021" name="Text Box 187">
          <a:extLst>
            <a:ext uri="{FF2B5EF4-FFF2-40B4-BE49-F238E27FC236}">
              <a16:creationId xmlns:a16="http://schemas.microsoft.com/office/drawing/2014/main" id="{00000000-0008-0000-0F00-0000FD030000}"/>
            </a:ext>
          </a:extLst>
        </xdr:cNvPr>
        <xdr:cNvSpPr txBox="1">
          <a:spLocks noChangeArrowheads="1"/>
        </xdr:cNvSpPr>
      </xdr:nvSpPr>
      <xdr:spPr bwMode="auto">
        <a:xfrm>
          <a:off x="3102429" y="10395857"/>
          <a:ext cx="114300" cy="929368"/>
        </a:xfrm>
        <a:prstGeom prst="rect">
          <a:avLst/>
        </a:prstGeom>
        <a:noFill/>
        <a:ln w="9525">
          <a:noFill/>
          <a:miter lim="800000"/>
          <a:headEnd/>
          <a:tailEnd/>
        </a:ln>
      </xdr:spPr>
    </xdr:sp>
    <xdr:clientData/>
  </xdr:oneCellAnchor>
  <xdr:oneCellAnchor>
    <xdr:from>
      <xdr:col>7</xdr:col>
      <xdr:colOff>0</xdr:colOff>
      <xdr:row>23</xdr:row>
      <xdr:rowOff>0</xdr:rowOff>
    </xdr:from>
    <xdr:ext cx="123825" cy="929368"/>
    <xdr:sp macro="" textlink="">
      <xdr:nvSpPr>
        <xdr:cNvPr id="1022" name="Text Box 188">
          <a:extLst>
            <a:ext uri="{FF2B5EF4-FFF2-40B4-BE49-F238E27FC236}">
              <a16:creationId xmlns:a16="http://schemas.microsoft.com/office/drawing/2014/main" id="{00000000-0008-0000-0F00-0000FE030000}"/>
            </a:ext>
          </a:extLst>
        </xdr:cNvPr>
        <xdr:cNvSpPr txBox="1">
          <a:spLocks noChangeArrowheads="1"/>
        </xdr:cNvSpPr>
      </xdr:nvSpPr>
      <xdr:spPr bwMode="auto">
        <a:xfrm>
          <a:off x="3102429" y="10395857"/>
          <a:ext cx="123825" cy="929368"/>
        </a:xfrm>
        <a:prstGeom prst="rect">
          <a:avLst/>
        </a:prstGeom>
        <a:noFill/>
        <a:ln w="9525">
          <a:noFill/>
          <a:miter lim="800000"/>
          <a:headEnd/>
          <a:tailEnd/>
        </a:ln>
      </xdr:spPr>
    </xdr:sp>
    <xdr:clientData/>
  </xdr:oneCellAnchor>
  <xdr:oneCellAnchor>
    <xdr:from>
      <xdr:col>7</xdr:col>
      <xdr:colOff>0</xdr:colOff>
      <xdr:row>23</xdr:row>
      <xdr:rowOff>0</xdr:rowOff>
    </xdr:from>
    <xdr:ext cx="123825" cy="929368"/>
    <xdr:sp macro="" textlink="">
      <xdr:nvSpPr>
        <xdr:cNvPr id="1023" name="Text Box 189">
          <a:extLst>
            <a:ext uri="{FF2B5EF4-FFF2-40B4-BE49-F238E27FC236}">
              <a16:creationId xmlns:a16="http://schemas.microsoft.com/office/drawing/2014/main" id="{00000000-0008-0000-0F00-0000FF030000}"/>
            </a:ext>
          </a:extLst>
        </xdr:cNvPr>
        <xdr:cNvSpPr txBox="1">
          <a:spLocks noChangeArrowheads="1"/>
        </xdr:cNvSpPr>
      </xdr:nvSpPr>
      <xdr:spPr bwMode="auto">
        <a:xfrm>
          <a:off x="3102429" y="10395857"/>
          <a:ext cx="123825" cy="929368"/>
        </a:xfrm>
        <a:prstGeom prst="rect">
          <a:avLst/>
        </a:prstGeom>
        <a:noFill/>
        <a:ln w="9525">
          <a:noFill/>
          <a:miter lim="800000"/>
          <a:headEnd/>
          <a:tailEnd/>
        </a:ln>
      </xdr:spPr>
    </xdr:sp>
    <xdr:clientData/>
  </xdr:oneCellAnchor>
  <xdr:oneCellAnchor>
    <xdr:from>
      <xdr:col>7</xdr:col>
      <xdr:colOff>0</xdr:colOff>
      <xdr:row>23</xdr:row>
      <xdr:rowOff>0</xdr:rowOff>
    </xdr:from>
    <xdr:ext cx="123825" cy="929368"/>
    <xdr:sp macro="" textlink="">
      <xdr:nvSpPr>
        <xdr:cNvPr id="1024" name="Text Box 190">
          <a:extLst>
            <a:ext uri="{FF2B5EF4-FFF2-40B4-BE49-F238E27FC236}">
              <a16:creationId xmlns:a16="http://schemas.microsoft.com/office/drawing/2014/main" id="{00000000-0008-0000-0F00-000000040000}"/>
            </a:ext>
          </a:extLst>
        </xdr:cNvPr>
        <xdr:cNvSpPr txBox="1">
          <a:spLocks noChangeArrowheads="1"/>
        </xdr:cNvSpPr>
      </xdr:nvSpPr>
      <xdr:spPr bwMode="auto">
        <a:xfrm>
          <a:off x="3102429" y="10395857"/>
          <a:ext cx="123825" cy="929368"/>
        </a:xfrm>
        <a:prstGeom prst="rect">
          <a:avLst/>
        </a:prstGeom>
        <a:noFill/>
        <a:ln w="9525">
          <a:noFill/>
          <a:miter lim="800000"/>
          <a:headEnd/>
          <a:tailEnd/>
        </a:ln>
      </xdr:spPr>
    </xdr:sp>
    <xdr:clientData/>
  </xdr:oneCellAnchor>
  <xdr:oneCellAnchor>
    <xdr:from>
      <xdr:col>7</xdr:col>
      <xdr:colOff>0</xdr:colOff>
      <xdr:row>23</xdr:row>
      <xdr:rowOff>0</xdr:rowOff>
    </xdr:from>
    <xdr:ext cx="123825" cy="929368"/>
    <xdr:sp macro="" textlink="">
      <xdr:nvSpPr>
        <xdr:cNvPr id="1025" name="Text Box 191">
          <a:extLst>
            <a:ext uri="{FF2B5EF4-FFF2-40B4-BE49-F238E27FC236}">
              <a16:creationId xmlns:a16="http://schemas.microsoft.com/office/drawing/2014/main" id="{00000000-0008-0000-0F00-000001040000}"/>
            </a:ext>
          </a:extLst>
        </xdr:cNvPr>
        <xdr:cNvSpPr txBox="1">
          <a:spLocks noChangeArrowheads="1"/>
        </xdr:cNvSpPr>
      </xdr:nvSpPr>
      <xdr:spPr bwMode="auto">
        <a:xfrm>
          <a:off x="3102429" y="10395857"/>
          <a:ext cx="123825" cy="929368"/>
        </a:xfrm>
        <a:prstGeom prst="rect">
          <a:avLst/>
        </a:prstGeom>
        <a:noFill/>
        <a:ln w="9525">
          <a:noFill/>
          <a:miter lim="800000"/>
          <a:headEnd/>
          <a:tailEnd/>
        </a:ln>
      </xdr:spPr>
    </xdr:sp>
    <xdr:clientData/>
  </xdr:oneCellAnchor>
  <xdr:oneCellAnchor>
    <xdr:from>
      <xdr:col>7</xdr:col>
      <xdr:colOff>0</xdr:colOff>
      <xdr:row>23</xdr:row>
      <xdr:rowOff>0</xdr:rowOff>
    </xdr:from>
    <xdr:ext cx="123825" cy="834118"/>
    <xdr:sp macro="" textlink="">
      <xdr:nvSpPr>
        <xdr:cNvPr id="1026" name="Text Box 192">
          <a:extLst>
            <a:ext uri="{FF2B5EF4-FFF2-40B4-BE49-F238E27FC236}">
              <a16:creationId xmlns:a16="http://schemas.microsoft.com/office/drawing/2014/main" id="{00000000-0008-0000-0F00-00000204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23825" cy="834118"/>
    <xdr:sp macro="" textlink="">
      <xdr:nvSpPr>
        <xdr:cNvPr id="1027" name="Text Box 193">
          <a:extLst>
            <a:ext uri="{FF2B5EF4-FFF2-40B4-BE49-F238E27FC236}">
              <a16:creationId xmlns:a16="http://schemas.microsoft.com/office/drawing/2014/main" id="{00000000-0008-0000-0F00-00000304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23825" cy="834118"/>
    <xdr:sp macro="" textlink="">
      <xdr:nvSpPr>
        <xdr:cNvPr id="1028" name="Text Box 194">
          <a:extLst>
            <a:ext uri="{FF2B5EF4-FFF2-40B4-BE49-F238E27FC236}">
              <a16:creationId xmlns:a16="http://schemas.microsoft.com/office/drawing/2014/main" id="{00000000-0008-0000-0F00-00000404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23825" cy="834118"/>
    <xdr:sp macro="" textlink="">
      <xdr:nvSpPr>
        <xdr:cNvPr id="1029" name="Text Box 195">
          <a:extLst>
            <a:ext uri="{FF2B5EF4-FFF2-40B4-BE49-F238E27FC236}">
              <a16:creationId xmlns:a16="http://schemas.microsoft.com/office/drawing/2014/main" id="{00000000-0008-0000-0F00-00000504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23825" cy="834118"/>
    <xdr:sp macro="" textlink="">
      <xdr:nvSpPr>
        <xdr:cNvPr id="1030" name="Text Box 196">
          <a:extLst>
            <a:ext uri="{FF2B5EF4-FFF2-40B4-BE49-F238E27FC236}">
              <a16:creationId xmlns:a16="http://schemas.microsoft.com/office/drawing/2014/main" id="{00000000-0008-0000-0F00-000006040000}"/>
            </a:ext>
          </a:extLst>
        </xdr:cNvPr>
        <xdr:cNvSpPr txBox="1">
          <a:spLocks noChangeArrowheads="1"/>
        </xdr:cNvSpPr>
      </xdr:nvSpPr>
      <xdr:spPr bwMode="auto">
        <a:xfrm>
          <a:off x="3102429" y="10395857"/>
          <a:ext cx="123825" cy="834118"/>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031" name="Text Box 197">
          <a:extLst>
            <a:ext uri="{FF2B5EF4-FFF2-40B4-BE49-F238E27FC236}">
              <a16:creationId xmlns:a16="http://schemas.microsoft.com/office/drawing/2014/main" id="{00000000-0008-0000-0F00-000007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032" name="Text Box 198">
          <a:extLst>
            <a:ext uri="{FF2B5EF4-FFF2-40B4-BE49-F238E27FC236}">
              <a16:creationId xmlns:a16="http://schemas.microsoft.com/office/drawing/2014/main" id="{00000000-0008-0000-0F00-000008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033" name="Text Box 199">
          <a:extLst>
            <a:ext uri="{FF2B5EF4-FFF2-40B4-BE49-F238E27FC236}">
              <a16:creationId xmlns:a16="http://schemas.microsoft.com/office/drawing/2014/main" id="{00000000-0008-0000-0F00-000009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034" name="Text Box 200">
          <a:extLst>
            <a:ext uri="{FF2B5EF4-FFF2-40B4-BE49-F238E27FC236}">
              <a16:creationId xmlns:a16="http://schemas.microsoft.com/office/drawing/2014/main" id="{00000000-0008-0000-0F00-00000A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035" name="Text Box 201">
          <a:extLst>
            <a:ext uri="{FF2B5EF4-FFF2-40B4-BE49-F238E27FC236}">
              <a16:creationId xmlns:a16="http://schemas.microsoft.com/office/drawing/2014/main" id="{00000000-0008-0000-0F00-00000B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036" name="Text Box 202">
          <a:extLst>
            <a:ext uri="{FF2B5EF4-FFF2-40B4-BE49-F238E27FC236}">
              <a16:creationId xmlns:a16="http://schemas.microsoft.com/office/drawing/2014/main" id="{00000000-0008-0000-0F00-00000C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037" name="Text Box 203">
          <a:extLst>
            <a:ext uri="{FF2B5EF4-FFF2-40B4-BE49-F238E27FC236}">
              <a16:creationId xmlns:a16="http://schemas.microsoft.com/office/drawing/2014/main" id="{00000000-0008-0000-0F00-00000D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038" name="Text Box 204">
          <a:extLst>
            <a:ext uri="{FF2B5EF4-FFF2-40B4-BE49-F238E27FC236}">
              <a16:creationId xmlns:a16="http://schemas.microsoft.com/office/drawing/2014/main" id="{00000000-0008-0000-0F00-00000E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14300" cy="945696"/>
    <xdr:sp macro="" textlink="">
      <xdr:nvSpPr>
        <xdr:cNvPr id="1039" name="Text Box 205">
          <a:extLst>
            <a:ext uri="{FF2B5EF4-FFF2-40B4-BE49-F238E27FC236}">
              <a16:creationId xmlns:a16="http://schemas.microsoft.com/office/drawing/2014/main" id="{00000000-0008-0000-0F00-00000F040000}"/>
            </a:ext>
          </a:extLst>
        </xdr:cNvPr>
        <xdr:cNvSpPr txBox="1">
          <a:spLocks noChangeArrowheads="1"/>
        </xdr:cNvSpPr>
      </xdr:nvSpPr>
      <xdr:spPr bwMode="auto">
        <a:xfrm>
          <a:off x="3102429" y="10395857"/>
          <a:ext cx="114300" cy="945696"/>
        </a:xfrm>
        <a:prstGeom prst="rect">
          <a:avLst/>
        </a:prstGeom>
        <a:noFill/>
        <a:ln w="9525">
          <a:noFill/>
          <a:miter lim="800000"/>
          <a:headEnd/>
          <a:tailEnd/>
        </a:ln>
      </xdr:spPr>
    </xdr:sp>
    <xdr:clientData/>
  </xdr:oneCellAnchor>
  <xdr:oneCellAnchor>
    <xdr:from>
      <xdr:col>7</xdr:col>
      <xdr:colOff>0</xdr:colOff>
      <xdr:row>23</xdr:row>
      <xdr:rowOff>0</xdr:rowOff>
    </xdr:from>
    <xdr:ext cx="114300" cy="945696"/>
    <xdr:sp macro="" textlink="">
      <xdr:nvSpPr>
        <xdr:cNvPr id="1040" name="Text Box 206">
          <a:extLst>
            <a:ext uri="{FF2B5EF4-FFF2-40B4-BE49-F238E27FC236}">
              <a16:creationId xmlns:a16="http://schemas.microsoft.com/office/drawing/2014/main" id="{00000000-0008-0000-0F00-000010040000}"/>
            </a:ext>
          </a:extLst>
        </xdr:cNvPr>
        <xdr:cNvSpPr txBox="1">
          <a:spLocks noChangeArrowheads="1"/>
        </xdr:cNvSpPr>
      </xdr:nvSpPr>
      <xdr:spPr bwMode="auto">
        <a:xfrm>
          <a:off x="3102429" y="10395857"/>
          <a:ext cx="114300" cy="945696"/>
        </a:xfrm>
        <a:prstGeom prst="rect">
          <a:avLst/>
        </a:prstGeom>
        <a:noFill/>
        <a:ln w="9525">
          <a:noFill/>
          <a:miter lim="800000"/>
          <a:headEnd/>
          <a:tailEnd/>
        </a:ln>
      </xdr:spPr>
    </xdr:sp>
    <xdr:clientData/>
  </xdr:oneCellAnchor>
  <xdr:oneCellAnchor>
    <xdr:from>
      <xdr:col>7</xdr:col>
      <xdr:colOff>0</xdr:colOff>
      <xdr:row>23</xdr:row>
      <xdr:rowOff>0</xdr:rowOff>
    </xdr:from>
    <xdr:ext cx="123825" cy="945696"/>
    <xdr:sp macro="" textlink="">
      <xdr:nvSpPr>
        <xdr:cNvPr id="1041" name="Text Box 207">
          <a:extLst>
            <a:ext uri="{FF2B5EF4-FFF2-40B4-BE49-F238E27FC236}">
              <a16:creationId xmlns:a16="http://schemas.microsoft.com/office/drawing/2014/main" id="{00000000-0008-0000-0F00-000011040000}"/>
            </a:ext>
          </a:extLst>
        </xdr:cNvPr>
        <xdr:cNvSpPr txBox="1">
          <a:spLocks noChangeArrowheads="1"/>
        </xdr:cNvSpPr>
      </xdr:nvSpPr>
      <xdr:spPr bwMode="auto">
        <a:xfrm>
          <a:off x="3102429" y="10395857"/>
          <a:ext cx="123825" cy="945696"/>
        </a:xfrm>
        <a:prstGeom prst="rect">
          <a:avLst/>
        </a:prstGeom>
        <a:noFill/>
        <a:ln w="9525">
          <a:noFill/>
          <a:miter lim="800000"/>
          <a:headEnd/>
          <a:tailEnd/>
        </a:ln>
      </xdr:spPr>
    </xdr:sp>
    <xdr:clientData/>
  </xdr:oneCellAnchor>
  <xdr:oneCellAnchor>
    <xdr:from>
      <xdr:col>7</xdr:col>
      <xdr:colOff>0</xdr:colOff>
      <xdr:row>23</xdr:row>
      <xdr:rowOff>0</xdr:rowOff>
    </xdr:from>
    <xdr:ext cx="123825" cy="945696"/>
    <xdr:sp macro="" textlink="">
      <xdr:nvSpPr>
        <xdr:cNvPr id="1042" name="Text Box 208">
          <a:extLst>
            <a:ext uri="{FF2B5EF4-FFF2-40B4-BE49-F238E27FC236}">
              <a16:creationId xmlns:a16="http://schemas.microsoft.com/office/drawing/2014/main" id="{00000000-0008-0000-0F00-000012040000}"/>
            </a:ext>
          </a:extLst>
        </xdr:cNvPr>
        <xdr:cNvSpPr txBox="1">
          <a:spLocks noChangeArrowheads="1"/>
        </xdr:cNvSpPr>
      </xdr:nvSpPr>
      <xdr:spPr bwMode="auto">
        <a:xfrm>
          <a:off x="3102429" y="10395857"/>
          <a:ext cx="123825" cy="945696"/>
        </a:xfrm>
        <a:prstGeom prst="rect">
          <a:avLst/>
        </a:prstGeom>
        <a:noFill/>
        <a:ln w="9525">
          <a:noFill/>
          <a:miter lim="800000"/>
          <a:headEnd/>
          <a:tailEnd/>
        </a:ln>
      </xdr:spPr>
    </xdr:sp>
    <xdr:clientData/>
  </xdr:oneCellAnchor>
  <xdr:oneCellAnchor>
    <xdr:from>
      <xdr:col>7</xdr:col>
      <xdr:colOff>0</xdr:colOff>
      <xdr:row>23</xdr:row>
      <xdr:rowOff>0</xdr:rowOff>
    </xdr:from>
    <xdr:ext cx="123825" cy="945696"/>
    <xdr:sp macro="" textlink="">
      <xdr:nvSpPr>
        <xdr:cNvPr id="1043" name="Text Box 209">
          <a:extLst>
            <a:ext uri="{FF2B5EF4-FFF2-40B4-BE49-F238E27FC236}">
              <a16:creationId xmlns:a16="http://schemas.microsoft.com/office/drawing/2014/main" id="{00000000-0008-0000-0F00-000013040000}"/>
            </a:ext>
          </a:extLst>
        </xdr:cNvPr>
        <xdr:cNvSpPr txBox="1">
          <a:spLocks noChangeArrowheads="1"/>
        </xdr:cNvSpPr>
      </xdr:nvSpPr>
      <xdr:spPr bwMode="auto">
        <a:xfrm>
          <a:off x="3102429" y="10395857"/>
          <a:ext cx="123825" cy="945696"/>
        </a:xfrm>
        <a:prstGeom prst="rect">
          <a:avLst/>
        </a:prstGeom>
        <a:noFill/>
        <a:ln w="9525">
          <a:noFill/>
          <a:miter lim="800000"/>
          <a:headEnd/>
          <a:tailEnd/>
        </a:ln>
      </xdr:spPr>
    </xdr:sp>
    <xdr:clientData/>
  </xdr:oneCellAnchor>
  <xdr:oneCellAnchor>
    <xdr:from>
      <xdr:col>7</xdr:col>
      <xdr:colOff>0</xdr:colOff>
      <xdr:row>23</xdr:row>
      <xdr:rowOff>0</xdr:rowOff>
    </xdr:from>
    <xdr:ext cx="123825" cy="945696"/>
    <xdr:sp macro="" textlink="">
      <xdr:nvSpPr>
        <xdr:cNvPr id="1044" name="Text Box 210">
          <a:extLst>
            <a:ext uri="{FF2B5EF4-FFF2-40B4-BE49-F238E27FC236}">
              <a16:creationId xmlns:a16="http://schemas.microsoft.com/office/drawing/2014/main" id="{00000000-0008-0000-0F00-000014040000}"/>
            </a:ext>
          </a:extLst>
        </xdr:cNvPr>
        <xdr:cNvSpPr txBox="1">
          <a:spLocks noChangeArrowheads="1"/>
        </xdr:cNvSpPr>
      </xdr:nvSpPr>
      <xdr:spPr bwMode="auto">
        <a:xfrm>
          <a:off x="3102429" y="10395857"/>
          <a:ext cx="123825" cy="9456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045" name="Text Box 211">
          <a:extLst>
            <a:ext uri="{FF2B5EF4-FFF2-40B4-BE49-F238E27FC236}">
              <a16:creationId xmlns:a16="http://schemas.microsoft.com/office/drawing/2014/main" id="{00000000-0008-0000-0F00-000015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046" name="Text Box 212">
          <a:extLst>
            <a:ext uri="{FF2B5EF4-FFF2-40B4-BE49-F238E27FC236}">
              <a16:creationId xmlns:a16="http://schemas.microsoft.com/office/drawing/2014/main" id="{00000000-0008-0000-0F00-000016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047" name="Text Box 213">
          <a:extLst>
            <a:ext uri="{FF2B5EF4-FFF2-40B4-BE49-F238E27FC236}">
              <a16:creationId xmlns:a16="http://schemas.microsoft.com/office/drawing/2014/main" id="{00000000-0008-0000-0F00-000017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048" name="Text Box 214">
          <a:extLst>
            <a:ext uri="{FF2B5EF4-FFF2-40B4-BE49-F238E27FC236}">
              <a16:creationId xmlns:a16="http://schemas.microsoft.com/office/drawing/2014/main" id="{00000000-0008-0000-0F00-000018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42282"/>
    <xdr:sp macro="" textlink="">
      <xdr:nvSpPr>
        <xdr:cNvPr id="1049" name="Text Box 216">
          <a:extLst>
            <a:ext uri="{FF2B5EF4-FFF2-40B4-BE49-F238E27FC236}">
              <a16:creationId xmlns:a16="http://schemas.microsoft.com/office/drawing/2014/main" id="{00000000-0008-0000-0F00-000019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7</xdr:col>
      <xdr:colOff>0</xdr:colOff>
      <xdr:row>23</xdr:row>
      <xdr:rowOff>0</xdr:rowOff>
    </xdr:from>
    <xdr:ext cx="123825" cy="842282"/>
    <xdr:sp macro="" textlink="">
      <xdr:nvSpPr>
        <xdr:cNvPr id="1050" name="Text Box 217">
          <a:extLst>
            <a:ext uri="{FF2B5EF4-FFF2-40B4-BE49-F238E27FC236}">
              <a16:creationId xmlns:a16="http://schemas.microsoft.com/office/drawing/2014/main" id="{00000000-0008-0000-0F00-00001A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7</xdr:col>
      <xdr:colOff>0</xdr:colOff>
      <xdr:row>23</xdr:row>
      <xdr:rowOff>0</xdr:rowOff>
    </xdr:from>
    <xdr:ext cx="123825" cy="842282"/>
    <xdr:sp macro="" textlink="">
      <xdr:nvSpPr>
        <xdr:cNvPr id="1051" name="Text Box 218">
          <a:extLst>
            <a:ext uri="{FF2B5EF4-FFF2-40B4-BE49-F238E27FC236}">
              <a16:creationId xmlns:a16="http://schemas.microsoft.com/office/drawing/2014/main" id="{00000000-0008-0000-0F00-00001B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7</xdr:col>
      <xdr:colOff>0</xdr:colOff>
      <xdr:row>23</xdr:row>
      <xdr:rowOff>0</xdr:rowOff>
    </xdr:from>
    <xdr:ext cx="123825" cy="842282"/>
    <xdr:sp macro="" textlink="">
      <xdr:nvSpPr>
        <xdr:cNvPr id="1052" name="Text Box 219">
          <a:extLst>
            <a:ext uri="{FF2B5EF4-FFF2-40B4-BE49-F238E27FC236}">
              <a16:creationId xmlns:a16="http://schemas.microsoft.com/office/drawing/2014/main" id="{00000000-0008-0000-0F00-00001C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7</xdr:col>
      <xdr:colOff>0</xdr:colOff>
      <xdr:row>23</xdr:row>
      <xdr:rowOff>0</xdr:rowOff>
    </xdr:from>
    <xdr:ext cx="123825" cy="842282"/>
    <xdr:sp macro="" textlink="">
      <xdr:nvSpPr>
        <xdr:cNvPr id="1053" name="Text Box 220">
          <a:extLst>
            <a:ext uri="{FF2B5EF4-FFF2-40B4-BE49-F238E27FC236}">
              <a16:creationId xmlns:a16="http://schemas.microsoft.com/office/drawing/2014/main" id="{00000000-0008-0000-0F00-00001D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7</xdr:col>
      <xdr:colOff>0</xdr:colOff>
      <xdr:row>23</xdr:row>
      <xdr:rowOff>0</xdr:rowOff>
    </xdr:from>
    <xdr:ext cx="123825" cy="842282"/>
    <xdr:sp macro="" textlink="">
      <xdr:nvSpPr>
        <xdr:cNvPr id="1054" name="Text Box 221">
          <a:extLst>
            <a:ext uri="{FF2B5EF4-FFF2-40B4-BE49-F238E27FC236}">
              <a16:creationId xmlns:a16="http://schemas.microsoft.com/office/drawing/2014/main" id="{00000000-0008-0000-0F00-00001E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7</xdr:col>
      <xdr:colOff>0</xdr:colOff>
      <xdr:row>23</xdr:row>
      <xdr:rowOff>0</xdr:rowOff>
    </xdr:from>
    <xdr:ext cx="123825" cy="842282"/>
    <xdr:sp macro="" textlink="">
      <xdr:nvSpPr>
        <xdr:cNvPr id="1055" name="Text Box 222">
          <a:extLst>
            <a:ext uri="{FF2B5EF4-FFF2-40B4-BE49-F238E27FC236}">
              <a16:creationId xmlns:a16="http://schemas.microsoft.com/office/drawing/2014/main" id="{00000000-0008-0000-0F00-00001F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7</xdr:col>
      <xdr:colOff>0</xdr:colOff>
      <xdr:row>23</xdr:row>
      <xdr:rowOff>0</xdr:rowOff>
    </xdr:from>
    <xdr:ext cx="123825" cy="842282"/>
    <xdr:sp macro="" textlink="">
      <xdr:nvSpPr>
        <xdr:cNvPr id="1056" name="Text Box 223">
          <a:extLst>
            <a:ext uri="{FF2B5EF4-FFF2-40B4-BE49-F238E27FC236}">
              <a16:creationId xmlns:a16="http://schemas.microsoft.com/office/drawing/2014/main" id="{00000000-0008-0000-0F00-000020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7</xdr:col>
      <xdr:colOff>0</xdr:colOff>
      <xdr:row>23</xdr:row>
      <xdr:rowOff>0</xdr:rowOff>
    </xdr:from>
    <xdr:ext cx="123825" cy="842282"/>
    <xdr:sp macro="" textlink="">
      <xdr:nvSpPr>
        <xdr:cNvPr id="1057" name="Text Box 230">
          <a:extLst>
            <a:ext uri="{FF2B5EF4-FFF2-40B4-BE49-F238E27FC236}">
              <a16:creationId xmlns:a16="http://schemas.microsoft.com/office/drawing/2014/main" id="{00000000-0008-0000-0F00-000021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7</xdr:col>
      <xdr:colOff>0</xdr:colOff>
      <xdr:row>23</xdr:row>
      <xdr:rowOff>0</xdr:rowOff>
    </xdr:from>
    <xdr:ext cx="123825" cy="842282"/>
    <xdr:sp macro="" textlink="">
      <xdr:nvSpPr>
        <xdr:cNvPr id="1058" name="Text Box 231">
          <a:extLst>
            <a:ext uri="{FF2B5EF4-FFF2-40B4-BE49-F238E27FC236}">
              <a16:creationId xmlns:a16="http://schemas.microsoft.com/office/drawing/2014/main" id="{00000000-0008-0000-0F00-000022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7</xdr:col>
      <xdr:colOff>0</xdr:colOff>
      <xdr:row>23</xdr:row>
      <xdr:rowOff>0</xdr:rowOff>
    </xdr:from>
    <xdr:ext cx="123825" cy="842282"/>
    <xdr:sp macro="" textlink="">
      <xdr:nvSpPr>
        <xdr:cNvPr id="1059" name="Text Box 232">
          <a:extLst>
            <a:ext uri="{FF2B5EF4-FFF2-40B4-BE49-F238E27FC236}">
              <a16:creationId xmlns:a16="http://schemas.microsoft.com/office/drawing/2014/main" id="{00000000-0008-0000-0F00-000023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7</xdr:col>
      <xdr:colOff>0</xdr:colOff>
      <xdr:row>23</xdr:row>
      <xdr:rowOff>0</xdr:rowOff>
    </xdr:from>
    <xdr:ext cx="123825" cy="842282"/>
    <xdr:sp macro="" textlink="">
      <xdr:nvSpPr>
        <xdr:cNvPr id="1060" name="Text Box 233">
          <a:extLst>
            <a:ext uri="{FF2B5EF4-FFF2-40B4-BE49-F238E27FC236}">
              <a16:creationId xmlns:a16="http://schemas.microsoft.com/office/drawing/2014/main" id="{00000000-0008-0000-0F00-000024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7</xdr:col>
      <xdr:colOff>0</xdr:colOff>
      <xdr:row>23</xdr:row>
      <xdr:rowOff>0</xdr:rowOff>
    </xdr:from>
    <xdr:ext cx="123825" cy="842282"/>
    <xdr:sp macro="" textlink="">
      <xdr:nvSpPr>
        <xdr:cNvPr id="1061" name="Text Box 234">
          <a:extLst>
            <a:ext uri="{FF2B5EF4-FFF2-40B4-BE49-F238E27FC236}">
              <a16:creationId xmlns:a16="http://schemas.microsoft.com/office/drawing/2014/main" id="{00000000-0008-0000-0F00-000025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9</xdr:col>
      <xdr:colOff>0</xdr:colOff>
      <xdr:row>23</xdr:row>
      <xdr:rowOff>0</xdr:rowOff>
    </xdr:from>
    <xdr:ext cx="123825" cy="834118"/>
    <xdr:sp macro="" textlink="">
      <xdr:nvSpPr>
        <xdr:cNvPr id="1062" name="Text Box 178">
          <a:extLst>
            <a:ext uri="{FF2B5EF4-FFF2-40B4-BE49-F238E27FC236}">
              <a16:creationId xmlns:a16="http://schemas.microsoft.com/office/drawing/2014/main" id="{00000000-0008-0000-0F00-000026040000}"/>
            </a:ext>
          </a:extLst>
        </xdr:cNvPr>
        <xdr:cNvSpPr txBox="1">
          <a:spLocks noChangeArrowheads="1"/>
        </xdr:cNvSpPr>
      </xdr:nvSpPr>
      <xdr:spPr bwMode="auto">
        <a:xfrm>
          <a:off x="6572250" y="10395857"/>
          <a:ext cx="123825" cy="834118"/>
        </a:xfrm>
        <a:prstGeom prst="rect">
          <a:avLst/>
        </a:prstGeom>
        <a:noFill/>
        <a:ln w="9525">
          <a:noFill/>
          <a:miter lim="800000"/>
          <a:headEnd/>
          <a:tailEnd/>
        </a:ln>
      </xdr:spPr>
    </xdr:sp>
    <xdr:clientData/>
  </xdr:oneCellAnchor>
  <xdr:oneCellAnchor>
    <xdr:from>
      <xdr:col>9</xdr:col>
      <xdr:colOff>0</xdr:colOff>
      <xdr:row>23</xdr:row>
      <xdr:rowOff>0</xdr:rowOff>
    </xdr:from>
    <xdr:ext cx="123825" cy="834118"/>
    <xdr:sp macro="" textlink="">
      <xdr:nvSpPr>
        <xdr:cNvPr id="1063" name="Text Box 180">
          <a:extLst>
            <a:ext uri="{FF2B5EF4-FFF2-40B4-BE49-F238E27FC236}">
              <a16:creationId xmlns:a16="http://schemas.microsoft.com/office/drawing/2014/main" id="{00000000-0008-0000-0F00-000027040000}"/>
            </a:ext>
          </a:extLst>
        </xdr:cNvPr>
        <xdr:cNvSpPr txBox="1">
          <a:spLocks noChangeArrowheads="1"/>
        </xdr:cNvSpPr>
      </xdr:nvSpPr>
      <xdr:spPr bwMode="auto">
        <a:xfrm>
          <a:off x="5619750" y="10395857"/>
          <a:ext cx="123825" cy="834118"/>
        </a:xfrm>
        <a:prstGeom prst="rect">
          <a:avLst/>
        </a:prstGeom>
        <a:noFill/>
        <a:ln w="9525">
          <a:noFill/>
          <a:miter lim="800000"/>
          <a:headEnd/>
          <a:tailEnd/>
        </a:ln>
      </xdr:spPr>
    </xdr:sp>
    <xdr:clientData/>
  </xdr:oneCellAnchor>
  <xdr:oneCellAnchor>
    <xdr:from>
      <xdr:col>9</xdr:col>
      <xdr:colOff>0</xdr:colOff>
      <xdr:row>23</xdr:row>
      <xdr:rowOff>0</xdr:rowOff>
    </xdr:from>
    <xdr:ext cx="123825" cy="834118"/>
    <xdr:sp macro="" textlink="">
      <xdr:nvSpPr>
        <xdr:cNvPr id="1064" name="Text Box 181">
          <a:extLst>
            <a:ext uri="{FF2B5EF4-FFF2-40B4-BE49-F238E27FC236}">
              <a16:creationId xmlns:a16="http://schemas.microsoft.com/office/drawing/2014/main" id="{00000000-0008-0000-0F00-000028040000}"/>
            </a:ext>
          </a:extLst>
        </xdr:cNvPr>
        <xdr:cNvSpPr txBox="1">
          <a:spLocks noChangeArrowheads="1"/>
        </xdr:cNvSpPr>
      </xdr:nvSpPr>
      <xdr:spPr bwMode="auto">
        <a:xfrm>
          <a:off x="5619750" y="10395857"/>
          <a:ext cx="123825" cy="834118"/>
        </a:xfrm>
        <a:prstGeom prst="rect">
          <a:avLst/>
        </a:prstGeom>
        <a:noFill/>
        <a:ln w="9525">
          <a:noFill/>
          <a:miter lim="800000"/>
          <a:headEnd/>
          <a:tailEnd/>
        </a:ln>
      </xdr:spPr>
    </xdr:sp>
    <xdr:clientData/>
  </xdr:oneCellAnchor>
  <xdr:oneCellAnchor>
    <xdr:from>
      <xdr:col>9</xdr:col>
      <xdr:colOff>0</xdr:colOff>
      <xdr:row>23</xdr:row>
      <xdr:rowOff>0</xdr:rowOff>
    </xdr:from>
    <xdr:ext cx="123825" cy="834118"/>
    <xdr:sp macro="" textlink="">
      <xdr:nvSpPr>
        <xdr:cNvPr id="1065" name="Text Box 182">
          <a:extLst>
            <a:ext uri="{FF2B5EF4-FFF2-40B4-BE49-F238E27FC236}">
              <a16:creationId xmlns:a16="http://schemas.microsoft.com/office/drawing/2014/main" id="{00000000-0008-0000-0F00-000029040000}"/>
            </a:ext>
          </a:extLst>
        </xdr:cNvPr>
        <xdr:cNvSpPr txBox="1">
          <a:spLocks noChangeArrowheads="1"/>
        </xdr:cNvSpPr>
      </xdr:nvSpPr>
      <xdr:spPr bwMode="auto">
        <a:xfrm>
          <a:off x="5619750" y="10395857"/>
          <a:ext cx="123825" cy="834118"/>
        </a:xfrm>
        <a:prstGeom prst="rect">
          <a:avLst/>
        </a:prstGeom>
        <a:noFill/>
        <a:ln w="9525">
          <a:noFill/>
          <a:miter lim="800000"/>
          <a:headEnd/>
          <a:tailEnd/>
        </a:ln>
      </xdr:spPr>
    </xdr:sp>
    <xdr:clientData/>
  </xdr:oneCellAnchor>
  <xdr:oneCellAnchor>
    <xdr:from>
      <xdr:col>9</xdr:col>
      <xdr:colOff>0</xdr:colOff>
      <xdr:row>23</xdr:row>
      <xdr:rowOff>0</xdr:rowOff>
    </xdr:from>
    <xdr:ext cx="123825" cy="834118"/>
    <xdr:sp macro="" textlink="">
      <xdr:nvSpPr>
        <xdr:cNvPr id="1066" name="Text Box 183">
          <a:extLst>
            <a:ext uri="{FF2B5EF4-FFF2-40B4-BE49-F238E27FC236}">
              <a16:creationId xmlns:a16="http://schemas.microsoft.com/office/drawing/2014/main" id="{00000000-0008-0000-0F00-00002A040000}"/>
            </a:ext>
          </a:extLst>
        </xdr:cNvPr>
        <xdr:cNvSpPr txBox="1">
          <a:spLocks noChangeArrowheads="1"/>
        </xdr:cNvSpPr>
      </xdr:nvSpPr>
      <xdr:spPr bwMode="auto">
        <a:xfrm>
          <a:off x="5619750" y="10395857"/>
          <a:ext cx="123825" cy="834118"/>
        </a:xfrm>
        <a:prstGeom prst="rect">
          <a:avLst/>
        </a:prstGeom>
        <a:noFill/>
        <a:ln w="9525">
          <a:noFill/>
          <a:miter lim="800000"/>
          <a:headEnd/>
          <a:tailEnd/>
        </a:ln>
      </xdr:spPr>
    </xdr:sp>
    <xdr:clientData/>
  </xdr:oneCellAnchor>
  <xdr:oneCellAnchor>
    <xdr:from>
      <xdr:col>9</xdr:col>
      <xdr:colOff>0</xdr:colOff>
      <xdr:row>23</xdr:row>
      <xdr:rowOff>0</xdr:rowOff>
    </xdr:from>
    <xdr:ext cx="123825" cy="834118"/>
    <xdr:sp macro="" textlink="">
      <xdr:nvSpPr>
        <xdr:cNvPr id="1067" name="Text Box 184">
          <a:extLst>
            <a:ext uri="{FF2B5EF4-FFF2-40B4-BE49-F238E27FC236}">
              <a16:creationId xmlns:a16="http://schemas.microsoft.com/office/drawing/2014/main" id="{00000000-0008-0000-0F00-00002B040000}"/>
            </a:ext>
          </a:extLst>
        </xdr:cNvPr>
        <xdr:cNvSpPr txBox="1">
          <a:spLocks noChangeArrowheads="1"/>
        </xdr:cNvSpPr>
      </xdr:nvSpPr>
      <xdr:spPr bwMode="auto">
        <a:xfrm>
          <a:off x="5619750" y="10395857"/>
          <a:ext cx="123825" cy="834118"/>
        </a:xfrm>
        <a:prstGeom prst="rect">
          <a:avLst/>
        </a:prstGeom>
        <a:noFill/>
        <a:ln w="9525">
          <a:noFill/>
          <a:miter lim="800000"/>
          <a:headEnd/>
          <a:tailEnd/>
        </a:ln>
      </xdr:spPr>
    </xdr:sp>
    <xdr:clientData/>
  </xdr:oneCellAnchor>
  <xdr:oneCellAnchor>
    <xdr:from>
      <xdr:col>9</xdr:col>
      <xdr:colOff>0</xdr:colOff>
      <xdr:row>23</xdr:row>
      <xdr:rowOff>0</xdr:rowOff>
    </xdr:from>
    <xdr:ext cx="123825" cy="834118"/>
    <xdr:sp macro="" textlink="">
      <xdr:nvSpPr>
        <xdr:cNvPr id="1068" name="Text Box 185">
          <a:extLst>
            <a:ext uri="{FF2B5EF4-FFF2-40B4-BE49-F238E27FC236}">
              <a16:creationId xmlns:a16="http://schemas.microsoft.com/office/drawing/2014/main" id="{00000000-0008-0000-0F00-00002C040000}"/>
            </a:ext>
          </a:extLst>
        </xdr:cNvPr>
        <xdr:cNvSpPr txBox="1">
          <a:spLocks noChangeArrowheads="1"/>
        </xdr:cNvSpPr>
      </xdr:nvSpPr>
      <xdr:spPr bwMode="auto">
        <a:xfrm>
          <a:off x="5619750" y="10395857"/>
          <a:ext cx="123825" cy="834118"/>
        </a:xfrm>
        <a:prstGeom prst="rect">
          <a:avLst/>
        </a:prstGeom>
        <a:noFill/>
        <a:ln w="9525">
          <a:noFill/>
          <a:miter lim="800000"/>
          <a:headEnd/>
          <a:tailEnd/>
        </a:ln>
      </xdr:spPr>
    </xdr:sp>
    <xdr:clientData/>
  </xdr:oneCellAnchor>
  <xdr:oneCellAnchor>
    <xdr:from>
      <xdr:col>9</xdr:col>
      <xdr:colOff>0</xdr:colOff>
      <xdr:row>23</xdr:row>
      <xdr:rowOff>0</xdr:rowOff>
    </xdr:from>
    <xdr:ext cx="114300" cy="929368"/>
    <xdr:sp macro="" textlink="">
      <xdr:nvSpPr>
        <xdr:cNvPr id="1069" name="Text Box 186">
          <a:extLst>
            <a:ext uri="{FF2B5EF4-FFF2-40B4-BE49-F238E27FC236}">
              <a16:creationId xmlns:a16="http://schemas.microsoft.com/office/drawing/2014/main" id="{00000000-0008-0000-0F00-00002D040000}"/>
            </a:ext>
          </a:extLst>
        </xdr:cNvPr>
        <xdr:cNvSpPr txBox="1">
          <a:spLocks noChangeArrowheads="1"/>
        </xdr:cNvSpPr>
      </xdr:nvSpPr>
      <xdr:spPr bwMode="auto">
        <a:xfrm>
          <a:off x="5619750" y="10395857"/>
          <a:ext cx="114300" cy="929368"/>
        </a:xfrm>
        <a:prstGeom prst="rect">
          <a:avLst/>
        </a:prstGeom>
        <a:noFill/>
        <a:ln w="9525">
          <a:noFill/>
          <a:miter lim="800000"/>
          <a:headEnd/>
          <a:tailEnd/>
        </a:ln>
      </xdr:spPr>
    </xdr:sp>
    <xdr:clientData/>
  </xdr:oneCellAnchor>
  <xdr:oneCellAnchor>
    <xdr:from>
      <xdr:col>9</xdr:col>
      <xdr:colOff>0</xdr:colOff>
      <xdr:row>23</xdr:row>
      <xdr:rowOff>0</xdr:rowOff>
    </xdr:from>
    <xdr:ext cx="114300" cy="929368"/>
    <xdr:sp macro="" textlink="">
      <xdr:nvSpPr>
        <xdr:cNvPr id="1070" name="Text Box 187">
          <a:extLst>
            <a:ext uri="{FF2B5EF4-FFF2-40B4-BE49-F238E27FC236}">
              <a16:creationId xmlns:a16="http://schemas.microsoft.com/office/drawing/2014/main" id="{00000000-0008-0000-0F00-00002E040000}"/>
            </a:ext>
          </a:extLst>
        </xdr:cNvPr>
        <xdr:cNvSpPr txBox="1">
          <a:spLocks noChangeArrowheads="1"/>
        </xdr:cNvSpPr>
      </xdr:nvSpPr>
      <xdr:spPr bwMode="auto">
        <a:xfrm>
          <a:off x="5619750" y="10395857"/>
          <a:ext cx="114300" cy="929368"/>
        </a:xfrm>
        <a:prstGeom prst="rect">
          <a:avLst/>
        </a:prstGeom>
        <a:noFill/>
        <a:ln w="9525">
          <a:noFill/>
          <a:miter lim="800000"/>
          <a:headEnd/>
          <a:tailEnd/>
        </a:ln>
      </xdr:spPr>
    </xdr:sp>
    <xdr:clientData/>
  </xdr:oneCellAnchor>
  <xdr:oneCellAnchor>
    <xdr:from>
      <xdr:col>9</xdr:col>
      <xdr:colOff>0</xdr:colOff>
      <xdr:row>23</xdr:row>
      <xdr:rowOff>0</xdr:rowOff>
    </xdr:from>
    <xdr:ext cx="123825" cy="929368"/>
    <xdr:sp macro="" textlink="">
      <xdr:nvSpPr>
        <xdr:cNvPr id="1071" name="Text Box 188">
          <a:extLst>
            <a:ext uri="{FF2B5EF4-FFF2-40B4-BE49-F238E27FC236}">
              <a16:creationId xmlns:a16="http://schemas.microsoft.com/office/drawing/2014/main" id="{00000000-0008-0000-0F00-00002F040000}"/>
            </a:ext>
          </a:extLst>
        </xdr:cNvPr>
        <xdr:cNvSpPr txBox="1">
          <a:spLocks noChangeArrowheads="1"/>
        </xdr:cNvSpPr>
      </xdr:nvSpPr>
      <xdr:spPr bwMode="auto">
        <a:xfrm>
          <a:off x="5619750" y="10395857"/>
          <a:ext cx="123825" cy="929368"/>
        </a:xfrm>
        <a:prstGeom prst="rect">
          <a:avLst/>
        </a:prstGeom>
        <a:noFill/>
        <a:ln w="9525">
          <a:noFill/>
          <a:miter lim="800000"/>
          <a:headEnd/>
          <a:tailEnd/>
        </a:ln>
      </xdr:spPr>
    </xdr:sp>
    <xdr:clientData/>
  </xdr:oneCellAnchor>
  <xdr:oneCellAnchor>
    <xdr:from>
      <xdr:col>9</xdr:col>
      <xdr:colOff>0</xdr:colOff>
      <xdr:row>23</xdr:row>
      <xdr:rowOff>0</xdr:rowOff>
    </xdr:from>
    <xdr:ext cx="123825" cy="929368"/>
    <xdr:sp macro="" textlink="">
      <xdr:nvSpPr>
        <xdr:cNvPr id="1072" name="Text Box 189">
          <a:extLst>
            <a:ext uri="{FF2B5EF4-FFF2-40B4-BE49-F238E27FC236}">
              <a16:creationId xmlns:a16="http://schemas.microsoft.com/office/drawing/2014/main" id="{00000000-0008-0000-0F00-000030040000}"/>
            </a:ext>
          </a:extLst>
        </xdr:cNvPr>
        <xdr:cNvSpPr txBox="1">
          <a:spLocks noChangeArrowheads="1"/>
        </xdr:cNvSpPr>
      </xdr:nvSpPr>
      <xdr:spPr bwMode="auto">
        <a:xfrm>
          <a:off x="5619750" y="10395857"/>
          <a:ext cx="123825" cy="929368"/>
        </a:xfrm>
        <a:prstGeom prst="rect">
          <a:avLst/>
        </a:prstGeom>
        <a:noFill/>
        <a:ln w="9525">
          <a:noFill/>
          <a:miter lim="800000"/>
          <a:headEnd/>
          <a:tailEnd/>
        </a:ln>
      </xdr:spPr>
    </xdr:sp>
    <xdr:clientData/>
  </xdr:oneCellAnchor>
  <xdr:oneCellAnchor>
    <xdr:from>
      <xdr:col>9</xdr:col>
      <xdr:colOff>0</xdr:colOff>
      <xdr:row>23</xdr:row>
      <xdr:rowOff>0</xdr:rowOff>
    </xdr:from>
    <xdr:ext cx="123825" cy="929368"/>
    <xdr:sp macro="" textlink="">
      <xdr:nvSpPr>
        <xdr:cNvPr id="1073" name="Text Box 190">
          <a:extLst>
            <a:ext uri="{FF2B5EF4-FFF2-40B4-BE49-F238E27FC236}">
              <a16:creationId xmlns:a16="http://schemas.microsoft.com/office/drawing/2014/main" id="{00000000-0008-0000-0F00-000031040000}"/>
            </a:ext>
          </a:extLst>
        </xdr:cNvPr>
        <xdr:cNvSpPr txBox="1">
          <a:spLocks noChangeArrowheads="1"/>
        </xdr:cNvSpPr>
      </xdr:nvSpPr>
      <xdr:spPr bwMode="auto">
        <a:xfrm>
          <a:off x="5619750" y="10395857"/>
          <a:ext cx="123825" cy="929368"/>
        </a:xfrm>
        <a:prstGeom prst="rect">
          <a:avLst/>
        </a:prstGeom>
        <a:noFill/>
        <a:ln w="9525">
          <a:noFill/>
          <a:miter lim="800000"/>
          <a:headEnd/>
          <a:tailEnd/>
        </a:ln>
      </xdr:spPr>
    </xdr:sp>
    <xdr:clientData/>
  </xdr:oneCellAnchor>
  <xdr:oneCellAnchor>
    <xdr:from>
      <xdr:col>9</xdr:col>
      <xdr:colOff>0</xdr:colOff>
      <xdr:row>23</xdr:row>
      <xdr:rowOff>0</xdr:rowOff>
    </xdr:from>
    <xdr:ext cx="123825" cy="929368"/>
    <xdr:sp macro="" textlink="">
      <xdr:nvSpPr>
        <xdr:cNvPr id="1074" name="Text Box 191">
          <a:extLst>
            <a:ext uri="{FF2B5EF4-FFF2-40B4-BE49-F238E27FC236}">
              <a16:creationId xmlns:a16="http://schemas.microsoft.com/office/drawing/2014/main" id="{00000000-0008-0000-0F00-000032040000}"/>
            </a:ext>
          </a:extLst>
        </xdr:cNvPr>
        <xdr:cNvSpPr txBox="1">
          <a:spLocks noChangeArrowheads="1"/>
        </xdr:cNvSpPr>
      </xdr:nvSpPr>
      <xdr:spPr bwMode="auto">
        <a:xfrm>
          <a:off x="5619750" y="10395857"/>
          <a:ext cx="123825" cy="929368"/>
        </a:xfrm>
        <a:prstGeom prst="rect">
          <a:avLst/>
        </a:prstGeom>
        <a:noFill/>
        <a:ln w="9525">
          <a:noFill/>
          <a:miter lim="800000"/>
          <a:headEnd/>
          <a:tailEnd/>
        </a:ln>
      </xdr:spPr>
    </xdr:sp>
    <xdr:clientData/>
  </xdr:oneCellAnchor>
  <xdr:oneCellAnchor>
    <xdr:from>
      <xdr:col>9</xdr:col>
      <xdr:colOff>0</xdr:colOff>
      <xdr:row>23</xdr:row>
      <xdr:rowOff>0</xdr:rowOff>
    </xdr:from>
    <xdr:ext cx="123825" cy="834118"/>
    <xdr:sp macro="" textlink="">
      <xdr:nvSpPr>
        <xdr:cNvPr id="1075" name="Text Box 192">
          <a:extLst>
            <a:ext uri="{FF2B5EF4-FFF2-40B4-BE49-F238E27FC236}">
              <a16:creationId xmlns:a16="http://schemas.microsoft.com/office/drawing/2014/main" id="{00000000-0008-0000-0F00-000033040000}"/>
            </a:ext>
          </a:extLst>
        </xdr:cNvPr>
        <xdr:cNvSpPr txBox="1">
          <a:spLocks noChangeArrowheads="1"/>
        </xdr:cNvSpPr>
      </xdr:nvSpPr>
      <xdr:spPr bwMode="auto">
        <a:xfrm>
          <a:off x="5619750" y="10395857"/>
          <a:ext cx="123825" cy="834118"/>
        </a:xfrm>
        <a:prstGeom prst="rect">
          <a:avLst/>
        </a:prstGeom>
        <a:noFill/>
        <a:ln w="9525">
          <a:noFill/>
          <a:miter lim="800000"/>
          <a:headEnd/>
          <a:tailEnd/>
        </a:ln>
      </xdr:spPr>
    </xdr:sp>
    <xdr:clientData/>
  </xdr:oneCellAnchor>
  <xdr:oneCellAnchor>
    <xdr:from>
      <xdr:col>9</xdr:col>
      <xdr:colOff>0</xdr:colOff>
      <xdr:row>23</xdr:row>
      <xdr:rowOff>0</xdr:rowOff>
    </xdr:from>
    <xdr:ext cx="123825" cy="834118"/>
    <xdr:sp macro="" textlink="">
      <xdr:nvSpPr>
        <xdr:cNvPr id="1076" name="Text Box 193">
          <a:extLst>
            <a:ext uri="{FF2B5EF4-FFF2-40B4-BE49-F238E27FC236}">
              <a16:creationId xmlns:a16="http://schemas.microsoft.com/office/drawing/2014/main" id="{00000000-0008-0000-0F00-000034040000}"/>
            </a:ext>
          </a:extLst>
        </xdr:cNvPr>
        <xdr:cNvSpPr txBox="1">
          <a:spLocks noChangeArrowheads="1"/>
        </xdr:cNvSpPr>
      </xdr:nvSpPr>
      <xdr:spPr bwMode="auto">
        <a:xfrm>
          <a:off x="5619750" y="10395857"/>
          <a:ext cx="123825" cy="834118"/>
        </a:xfrm>
        <a:prstGeom prst="rect">
          <a:avLst/>
        </a:prstGeom>
        <a:noFill/>
        <a:ln w="9525">
          <a:noFill/>
          <a:miter lim="800000"/>
          <a:headEnd/>
          <a:tailEnd/>
        </a:ln>
      </xdr:spPr>
    </xdr:sp>
    <xdr:clientData/>
  </xdr:oneCellAnchor>
  <xdr:oneCellAnchor>
    <xdr:from>
      <xdr:col>9</xdr:col>
      <xdr:colOff>0</xdr:colOff>
      <xdr:row>23</xdr:row>
      <xdr:rowOff>0</xdr:rowOff>
    </xdr:from>
    <xdr:ext cx="123825" cy="834118"/>
    <xdr:sp macro="" textlink="">
      <xdr:nvSpPr>
        <xdr:cNvPr id="1077" name="Text Box 194">
          <a:extLst>
            <a:ext uri="{FF2B5EF4-FFF2-40B4-BE49-F238E27FC236}">
              <a16:creationId xmlns:a16="http://schemas.microsoft.com/office/drawing/2014/main" id="{00000000-0008-0000-0F00-000035040000}"/>
            </a:ext>
          </a:extLst>
        </xdr:cNvPr>
        <xdr:cNvSpPr txBox="1">
          <a:spLocks noChangeArrowheads="1"/>
        </xdr:cNvSpPr>
      </xdr:nvSpPr>
      <xdr:spPr bwMode="auto">
        <a:xfrm>
          <a:off x="5619750" y="10395857"/>
          <a:ext cx="123825" cy="834118"/>
        </a:xfrm>
        <a:prstGeom prst="rect">
          <a:avLst/>
        </a:prstGeom>
        <a:noFill/>
        <a:ln w="9525">
          <a:noFill/>
          <a:miter lim="800000"/>
          <a:headEnd/>
          <a:tailEnd/>
        </a:ln>
      </xdr:spPr>
    </xdr:sp>
    <xdr:clientData/>
  </xdr:oneCellAnchor>
  <xdr:oneCellAnchor>
    <xdr:from>
      <xdr:col>9</xdr:col>
      <xdr:colOff>0</xdr:colOff>
      <xdr:row>23</xdr:row>
      <xdr:rowOff>0</xdr:rowOff>
    </xdr:from>
    <xdr:ext cx="123825" cy="834118"/>
    <xdr:sp macro="" textlink="">
      <xdr:nvSpPr>
        <xdr:cNvPr id="1078" name="Text Box 195">
          <a:extLst>
            <a:ext uri="{FF2B5EF4-FFF2-40B4-BE49-F238E27FC236}">
              <a16:creationId xmlns:a16="http://schemas.microsoft.com/office/drawing/2014/main" id="{00000000-0008-0000-0F00-000036040000}"/>
            </a:ext>
          </a:extLst>
        </xdr:cNvPr>
        <xdr:cNvSpPr txBox="1">
          <a:spLocks noChangeArrowheads="1"/>
        </xdr:cNvSpPr>
      </xdr:nvSpPr>
      <xdr:spPr bwMode="auto">
        <a:xfrm>
          <a:off x="5619750" y="10395857"/>
          <a:ext cx="123825" cy="834118"/>
        </a:xfrm>
        <a:prstGeom prst="rect">
          <a:avLst/>
        </a:prstGeom>
        <a:noFill/>
        <a:ln w="9525">
          <a:noFill/>
          <a:miter lim="800000"/>
          <a:headEnd/>
          <a:tailEnd/>
        </a:ln>
      </xdr:spPr>
    </xdr:sp>
    <xdr:clientData/>
  </xdr:oneCellAnchor>
  <xdr:oneCellAnchor>
    <xdr:from>
      <xdr:col>9</xdr:col>
      <xdr:colOff>0</xdr:colOff>
      <xdr:row>23</xdr:row>
      <xdr:rowOff>0</xdr:rowOff>
    </xdr:from>
    <xdr:ext cx="123825" cy="834118"/>
    <xdr:sp macro="" textlink="">
      <xdr:nvSpPr>
        <xdr:cNvPr id="1079" name="Text Box 196">
          <a:extLst>
            <a:ext uri="{FF2B5EF4-FFF2-40B4-BE49-F238E27FC236}">
              <a16:creationId xmlns:a16="http://schemas.microsoft.com/office/drawing/2014/main" id="{00000000-0008-0000-0F00-000037040000}"/>
            </a:ext>
          </a:extLst>
        </xdr:cNvPr>
        <xdr:cNvSpPr txBox="1">
          <a:spLocks noChangeArrowheads="1"/>
        </xdr:cNvSpPr>
      </xdr:nvSpPr>
      <xdr:spPr bwMode="auto">
        <a:xfrm>
          <a:off x="5619750" y="10395857"/>
          <a:ext cx="123825" cy="834118"/>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080" name="Text Box 197">
          <a:extLst>
            <a:ext uri="{FF2B5EF4-FFF2-40B4-BE49-F238E27FC236}">
              <a16:creationId xmlns:a16="http://schemas.microsoft.com/office/drawing/2014/main" id="{00000000-0008-0000-0F00-000038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081" name="Text Box 198">
          <a:extLst>
            <a:ext uri="{FF2B5EF4-FFF2-40B4-BE49-F238E27FC236}">
              <a16:creationId xmlns:a16="http://schemas.microsoft.com/office/drawing/2014/main" id="{00000000-0008-0000-0F00-000039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082" name="Text Box 199">
          <a:extLst>
            <a:ext uri="{FF2B5EF4-FFF2-40B4-BE49-F238E27FC236}">
              <a16:creationId xmlns:a16="http://schemas.microsoft.com/office/drawing/2014/main" id="{00000000-0008-0000-0F00-00003A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083" name="Text Box 200">
          <a:extLst>
            <a:ext uri="{FF2B5EF4-FFF2-40B4-BE49-F238E27FC236}">
              <a16:creationId xmlns:a16="http://schemas.microsoft.com/office/drawing/2014/main" id="{00000000-0008-0000-0F00-00003B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084" name="Text Box 201">
          <a:extLst>
            <a:ext uri="{FF2B5EF4-FFF2-40B4-BE49-F238E27FC236}">
              <a16:creationId xmlns:a16="http://schemas.microsoft.com/office/drawing/2014/main" id="{00000000-0008-0000-0F00-00003C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085" name="Text Box 202">
          <a:extLst>
            <a:ext uri="{FF2B5EF4-FFF2-40B4-BE49-F238E27FC236}">
              <a16:creationId xmlns:a16="http://schemas.microsoft.com/office/drawing/2014/main" id="{00000000-0008-0000-0F00-00003D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086" name="Text Box 203">
          <a:extLst>
            <a:ext uri="{FF2B5EF4-FFF2-40B4-BE49-F238E27FC236}">
              <a16:creationId xmlns:a16="http://schemas.microsoft.com/office/drawing/2014/main" id="{00000000-0008-0000-0F00-00003E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087" name="Text Box 204">
          <a:extLst>
            <a:ext uri="{FF2B5EF4-FFF2-40B4-BE49-F238E27FC236}">
              <a16:creationId xmlns:a16="http://schemas.microsoft.com/office/drawing/2014/main" id="{00000000-0008-0000-0F00-00003F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14300" cy="945696"/>
    <xdr:sp macro="" textlink="">
      <xdr:nvSpPr>
        <xdr:cNvPr id="1088" name="Text Box 205">
          <a:extLst>
            <a:ext uri="{FF2B5EF4-FFF2-40B4-BE49-F238E27FC236}">
              <a16:creationId xmlns:a16="http://schemas.microsoft.com/office/drawing/2014/main" id="{00000000-0008-0000-0F00-000040040000}"/>
            </a:ext>
          </a:extLst>
        </xdr:cNvPr>
        <xdr:cNvSpPr txBox="1">
          <a:spLocks noChangeArrowheads="1"/>
        </xdr:cNvSpPr>
      </xdr:nvSpPr>
      <xdr:spPr bwMode="auto">
        <a:xfrm>
          <a:off x="5619750" y="10395857"/>
          <a:ext cx="114300" cy="945696"/>
        </a:xfrm>
        <a:prstGeom prst="rect">
          <a:avLst/>
        </a:prstGeom>
        <a:noFill/>
        <a:ln w="9525">
          <a:noFill/>
          <a:miter lim="800000"/>
          <a:headEnd/>
          <a:tailEnd/>
        </a:ln>
      </xdr:spPr>
    </xdr:sp>
    <xdr:clientData/>
  </xdr:oneCellAnchor>
  <xdr:oneCellAnchor>
    <xdr:from>
      <xdr:col>9</xdr:col>
      <xdr:colOff>0</xdr:colOff>
      <xdr:row>23</xdr:row>
      <xdr:rowOff>0</xdr:rowOff>
    </xdr:from>
    <xdr:ext cx="114300" cy="945696"/>
    <xdr:sp macro="" textlink="">
      <xdr:nvSpPr>
        <xdr:cNvPr id="1089" name="Text Box 206">
          <a:extLst>
            <a:ext uri="{FF2B5EF4-FFF2-40B4-BE49-F238E27FC236}">
              <a16:creationId xmlns:a16="http://schemas.microsoft.com/office/drawing/2014/main" id="{00000000-0008-0000-0F00-000041040000}"/>
            </a:ext>
          </a:extLst>
        </xdr:cNvPr>
        <xdr:cNvSpPr txBox="1">
          <a:spLocks noChangeArrowheads="1"/>
        </xdr:cNvSpPr>
      </xdr:nvSpPr>
      <xdr:spPr bwMode="auto">
        <a:xfrm>
          <a:off x="5619750" y="10395857"/>
          <a:ext cx="114300" cy="945696"/>
        </a:xfrm>
        <a:prstGeom prst="rect">
          <a:avLst/>
        </a:prstGeom>
        <a:noFill/>
        <a:ln w="9525">
          <a:noFill/>
          <a:miter lim="800000"/>
          <a:headEnd/>
          <a:tailEnd/>
        </a:ln>
      </xdr:spPr>
    </xdr:sp>
    <xdr:clientData/>
  </xdr:oneCellAnchor>
  <xdr:oneCellAnchor>
    <xdr:from>
      <xdr:col>9</xdr:col>
      <xdr:colOff>0</xdr:colOff>
      <xdr:row>23</xdr:row>
      <xdr:rowOff>0</xdr:rowOff>
    </xdr:from>
    <xdr:ext cx="123825" cy="945696"/>
    <xdr:sp macro="" textlink="">
      <xdr:nvSpPr>
        <xdr:cNvPr id="1090" name="Text Box 207">
          <a:extLst>
            <a:ext uri="{FF2B5EF4-FFF2-40B4-BE49-F238E27FC236}">
              <a16:creationId xmlns:a16="http://schemas.microsoft.com/office/drawing/2014/main" id="{00000000-0008-0000-0F00-000042040000}"/>
            </a:ext>
          </a:extLst>
        </xdr:cNvPr>
        <xdr:cNvSpPr txBox="1">
          <a:spLocks noChangeArrowheads="1"/>
        </xdr:cNvSpPr>
      </xdr:nvSpPr>
      <xdr:spPr bwMode="auto">
        <a:xfrm>
          <a:off x="5619750" y="10395857"/>
          <a:ext cx="123825" cy="945696"/>
        </a:xfrm>
        <a:prstGeom prst="rect">
          <a:avLst/>
        </a:prstGeom>
        <a:noFill/>
        <a:ln w="9525">
          <a:noFill/>
          <a:miter lim="800000"/>
          <a:headEnd/>
          <a:tailEnd/>
        </a:ln>
      </xdr:spPr>
    </xdr:sp>
    <xdr:clientData/>
  </xdr:oneCellAnchor>
  <xdr:oneCellAnchor>
    <xdr:from>
      <xdr:col>9</xdr:col>
      <xdr:colOff>0</xdr:colOff>
      <xdr:row>23</xdr:row>
      <xdr:rowOff>0</xdr:rowOff>
    </xdr:from>
    <xdr:ext cx="123825" cy="945696"/>
    <xdr:sp macro="" textlink="">
      <xdr:nvSpPr>
        <xdr:cNvPr id="1091" name="Text Box 208">
          <a:extLst>
            <a:ext uri="{FF2B5EF4-FFF2-40B4-BE49-F238E27FC236}">
              <a16:creationId xmlns:a16="http://schemas.microsoft.com/office/drawing/2014/main" id="{00000000-0008-0000-0F00-000043040000}"/>
            </a:ext>
          </a:extLst>
        </xdr:cNvPr>
        <xdr:cNvSpPr txBox="1">
          <a:spLocks noChangeArrowheads="1"/>
        </xdr:cNvSpPr>
      </xdr:nvSpPr>
      <xdr:spPr bwMode="auto">
        <a:xfrm>
          <a:off x="5619750" y="10395857"/>
          <a:ext cx="123825" cy="945696"/>
        </a:xfrm>
        <a:prstGeom prst="rect">
          <a:avLst/>
        </a:prstGeom>
        <a:noFill/>
        <a:ln w="9525">
          <a:noFill/>
          <a:miter lim="800000"/>
          <a:headEnd/>
          <a:tailEnd/>
        </a:ln>
      </xdr:spPr>
    </xdr:sp>
    <xdr:clientData/>
  </xdr:oneCellAnchor>
  <xdr:oneCellAnchor>
    <xdr:from>
      <xdr:col>9</xdr:col>
      <xdr:colOff>0</xdr:colOff>
      <xdr:row>23</xdr:row>
      <xdr:rowOff>0</xdr:rowOff>
    </xdr:from>
    <xdr:ext cx="123825" cy="945696"/>
    <xdr:sp macro="" textlink="">
      <xdr:nvSpPr>
        <xdr:cNvPr id="1092" name="Text Box 209">
          <a:extLst>
            <a:ext uri="{FF2B5EF4-FFF2-40B4-BE49-F238E27FC236}">
              <a16:creationId xmlns:a16="http://schemas.microsoft.com/office/drawing/2014/main" id="{00000000-0008-0000-0F00-000044040000}"/>
            </a:ext>
          </a:extLst>
        </xdr:cNvPr>
        <xdr:cNvSpPr txBox="1">
          <a:spLocks noChangeArrowheads="1"/>
        </xdr:cNvSpPr>
      </xdr:nvSpPr>
      <xdr:spPr bwMode="auto">
        <a:xfrm>
          <a:off x="5619750" y="10395857"/>
          <a:ext cx="123825" cy="945696"/>
        </a:xfrm>
        <a:prstGeom prst="rect">
          <a:avLst/>
        </a:prstGeom>
        <a:noFill/>
        <a:ln w="9525">
          <a:noFill/>
          <a:miter lim="800000"/>
          <a:headEnd/>
          <a:tailEnd/>
        </a:ln>
      </xdr:spPr>
    </xdr:sp>
    <xdr:clientData/>
  </xdr:oneCellAnchor>
  <xdr:oneCellAnchor>
    <xdr:from>
      <xdr:col>9</xdr:col>
      <xdr:colOff>0</xdr:colOff>
      <xdr:row>23</xdr:row>
      <xdr:rowOff>0</xdr:rowOff>
    </xdr:from>
    <xdr:ext cx="123825" cy="945696"/>
    <xdr:sp macro="" textlink="">
      <xdr:nvSpPr>
        <xdr:cNvPr id="1093" name="Text Box 210">
          <a:extLst>
            <a:ext uri="{FF2B5EF4-FFF2-40B4-BE49-F238E27FC236}">
              <a16:creationId xmlns:a16="http://schemas.microsoft.com/office/drawing/2014/main" id="{00000000-0008-0000-0F00-000045040000}"/>
            </a:ext>
          </a:extLst>
        </xdr:cNvPr>
        <xdr:cNvSpPr txBox="1">
          <a:spLocks noChangeArrowheads="1"/>
        </xdr:cNvSpPr>
      </xdr:nvSpPr>
      <xdr:spPr bwMode="auto">
        <a:xfrm>
          <a:off x="5619750" y="10395857"/>
          <a:ext cx="123825" cy="9456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094" name="Text Box 211">
          <a:extLst>
            <a:ext uri="{FF2B5EF4-FFF2-40B4-BE49-F238E27FC236}">
              <a16:creationId xmlns:a16="http://schemas.microsoft.com/office/drawing/2014/main" id="{00000000-0008-0000-0F00-000046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095" name="Text Box 212">
          <a:extLst>
            <a:ext uri="{FF2B5EF4-FFF2-40B4-BE49-F238E27FC236}">
              <a16:creationId xmlns:a16="http://schemas.microsoft.com/office/drawing/2014/main" id="{00000000-0008-0000-0F00-000047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096" name="Text Box 213">
          <a:extLst>
            <a:ext uri="{FF2B5EF4-FFF2-40B4-BE49-F238E27FC236}">
              <a16:creationId xmlns:a16="http://schemas.microsoft.com/office/drawing/2014/main" id="{00000000-0008-0000-0F00-000048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097" name="Text Box 214">
          <a:extLst>
            <a:ext uri="{FF2B5EF4-FFF2-40B4-BE49-F238E27FC236}">
              <a16:creationId xmlns:a16="http://schemas.microsoft.com/office/drawing/2014/main" id="{00000000-0008-0000-0F00-000049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42282"/>
    <xdr:sp macro="" textlink="">
      <xdr:nvSpPr>
        <xdr:cNvPr id="1098" name="Text Box 216">
          <a:extLst>
            <a:ext uri="{FF2B5EF4-FFF2-40B4-BE49-F238E27FC236}">
              <a16:creationId xmlns:a16="http://schemas.microsoft.com/office/drawing/2014/main" id="{00000000-0008-0000-0F00-00004A040000}"/>
            </a:ext>
          </a:extLst>
        </xdr:cNvPr>
        <xdr:cNvSpPr txBox="1">
          <a:spLocks noChangeArrowheads="1"/>
        </xdr:cNvSpPr>
      </xdr:nvSpPr>
      <xdr:spPr bwMode="auto">
        <a:xfrm>
          <a:off x="5619750" y="10395857"/>
          <a:ext cx="123825" cy="842282"/>
        </a:xfrm>
        <a:prstGeom prst="rect">
          <a:avLst/>
        </a:prstGeom>
        <a:noFill/>
        <a:ln w="9525">
          <a:noFill/>
          <a:miter lim="800000"/>
          <a:headEnd/>
          <a:tailEnd/>
        </a:ln>
      </xdr:spPr>
    </xdr:sp>
    <xdr:clientData/>
  </xdr:oneCellAnchor>
  <xdr:oneCellAnchor>
    <xdr:from>
      <xdr:col>9</xdr:col>
      <xdr:colOff>0</xdr:colOff>
      <xdr:row>23</xdr:row>
      <xdr:rowOff>0</xdr:rowOff>
    </xdr:from>
    <xdr:ext cx="123825" cy="842282"/>
    <xdr:sp macro="" textlink="">
      <xdr:nvSpPr>
        <xdr:cNvPr id="1099" name="Text Box 217">
          <a:extLst>
            <a:ext uri="{FF2B5EF4-FFF2-40B4-BE49-F238E27FC236}">
              <a16:creationId xmlns:a16="http://schemas.microsoft.com/office/drawing/2014/main" id="{00000000-0008-0000-0F00-00004B040000}"/>
            </a:ext>
          </a:extLst>
        </xdr:cNvPr>
        <xdr:cNvSpPr txBox="1">
          <a:spLocks noChangeArrowheads="1"/>
        </xdr:cNvSpPr>
      </xdr:nvSpPr>
      <xdr:spPr bwMode="auto">
        <a:xfrm>
          <a:off x="5619750" y="10395857"/>
          <a:ext cx="123825" cy="842282"/>
        </a:xfrm>
        <a:prstGeom prst="rect">
          <a:avLst/>
        </a:prstGeom>
        <a:noFill/>
        <a:ln w="9525">
          <a:noFill/>
          <a:miter lim="800000"/>
          <a:headEnd/>
          <a:tailEnd/>
        </a:ln>
      </xdr:spPr>
    </xdr:sp>
    <xdr:clientData/>
  </xdr:oneCellAnchor>
  <xdr:oneCellAnchor>
    <xdr:from>
      <xdr:col>9</xdr:col>
      <xdr:colOff>0</xdr:colOff>
      <xdr:row>23</xdr:row>
      <xdr:rowOff>0</xdr:rowOff>
    </xdr:from>
    <xdr:ext cx="123825" cy="842282"/>
    <xdr:sp macro="" textlink="">
      <xdr:nvSpPr>
        <xdr:cNvPr id="1100" name="Text Box 218">
          <a:extLst>
            <a:ext uri="{FF2B5EF4-FFF2-40B4-BE49-F238E27FC236}">
              <a16:creationId xmlns:a16="http://schemas.microsoft.com/office/drawing/2014/main" id="{00000000-0008-0000-0F00-00004C040000}"/>
            </a:ext>
          </a:extLst>
        </xdr:cNvPr>
        <xdr:cNvSpPr txBox="1">
          <a:spLocks noChangeArrowheads="1"/>
        </xdr:cNvSpPr>
      </xdr:nvSpPr>
      <xdr:spPr bwMode="auto">
        <a:xfrm>
          <a:off x="5619750" y="10395857"/>
          <a:ext cx="123825" cy="842282"/>
        </a:xfrm>
        <a:prstGeom prst="rect">
          <a:avLst/>
        </a:prstGeom>
        <a:noFill/>
        <a:ln w="9525">
          <a:noFill/>
          <a:miter lim="800000"/>
          <a:headEnd/>
          <a:tailEnd/>
        </a:ln>
      </xdr:spPr>
    </xdr:sp>
    <xdr:clientData/>
  </xdr:oneCellAnchor>
  <xdr:oneCellAnchor>
    <xdr:from>
      <xdr:col>9</xdr:col>
      <xdr:colOff>0</xdr:colOff>
      <xdr:row>23</xdr:row>
      <xdr:rowOff>0</xdr:rowOff>
    </xdr:from>
    <xdr:ext cx="123825" cy="842282"/>
    <xdr:sp macro="" textlink="">
      <xdr:nvSpPr>
        <xdr:cNvPr id="1101" name="Text Box 219">
          <a:extLst>
            <a:ext uri="{FF2B5EF4-FFF2-40B4-BE49-F238E27FC236}">
              <a16:creationId xmlns:a16="http://schemas.microsoft.com/office/drawing/2014/main" id="{00000000-0008-0000-0F00-00004D040000}"/>
            </a:ext>
          </a:extLst>
        </xdr:cNvPr>
        <xdr:cNvSpPr txBox="1">
          <a:spLocks noChangeArrowheads="1"/>
        </xdr:cNvSpPr>
      </xdr:nvSpPr>
      <xdr:spPr bwMode="auto">
        <a:xfrm>
          <a:off x="5619750" y="10395857"/>
          <a:ext cx="123825" cy="842282"/>
        </a:xfrm>
        <a:prstGeom prst="rect">
          <a:avLst/>
        </a:prstGeom>
        <a:noFill/>
        <a:ln w="9525">
          <a:noFill/>
          <a:miter lim="800000"/>
          <a:headEnd/>
          <a:tailEnd/>
        </a:ln>
      </xdr:spPr>
    </xdr:sp>
    <xdr:clientData/>
  </xdr:oneCellAnchor>
  <xdr:oneCellAnchor>
    <xdr:from>
      <xdr:col>9</xdr:col>
      <xdr:colOff>0</xdr:colOff>
      <xdr:row>23</xdr:row>
      <xdr:rowOff>0</xdr:rowOff>
    </xdr:from>
    <xdr:ext cx="123825" cy="842282"/>
    <xdr:sp macro="" textlink="">
      <xdr:nvSpPr>
        <xdr:cNvPr id="1102" name="Text Box 220">
          <a:extLst>
            <a:ext uri="{FF2B5EF4-FFF2-40B4-BE49-F238E27FC236}">
              <a16:creationId xmlns:a16="http://schemas.microsoft.com/office/drawing/2014/main" id="{00000000-0008-0000-0F00-00004E040000}"/>
            </a:ext>
          </a:extLst>
        </xdr:cNvPr>
        <xdr:cNvSpPr txBox="1">
          <a:spLocks noChangeArrowheads="1"/>
        </xdr:cNvSpPr>
      </xdr:nvSpPr>
      <xdr:spPr bwMode="auto">
        <a:xfrm>
          <a:off x="5619750" y="10395857"/>
          <a:ext cx="123825" cy="842282"/>
        </a:xfrm>
        <a:prstGeom prst="rect">
          <a:avLst/>
        </a:prstGeom>
        <a:noFill/>
        <a:ln w="9525">
          <a:noFill/>
          <a:miter lim="800000"/>
          <a:headEnd/>
          <a:tailEnd/>
        </a:ln>
      </xdr:spPr>
    </xdr:sp>
    <xdr:clientData/>
  </xdr:oneCellAnchor>
  <xdr:oneCellAnchor>
    <xdr:from>
      <xdr:col>9</xdr:col>
      <xdr:colOff>0</xdr:colOff>
      <xdr:row>23</xdr:row>
      <xdr:rowOff>0</xdr:rowOff>
    </xdr:from>
    <xdr:ext cx="123825" cy="842282"/>
    <xdr:sp macro="" textlink="">
      <xdr:nvSpPr>
        <xdr:cNvPr id="1103" name="Text Box 221">
          <a:extLst>
            <a:ext uri="{FF2B5EF4-FFF2-40B4-BE49-F238E27FC236}">
              <a16:creationId xmlns:a16="http://schemas.microsoft.com/office/drawing/2014/main" id="{00000000-0008-0000-0F00-00004F040000}"/>
            </a:ext>
          </a:extLst>
        </xdr:cNvPr>
        <xdr:cNvSpPr txBox="1">
          <a:spLocks noChangeArrowheads="1"/>
        </xdr:cNvSpPr>
      </xdr:nvSpPr>
      <xdr:spPr bwMode="auto">
        <a:xfrm>
          <a:off x="5619750" y="10395857"/>
          <a:ext cx="123825" cy="842282"/>
        </a:xfrm>
        <a:prstGeom prst="rect">
          <a:avLst/>
        </a:prstGeom>
        <a:noFill/>
        <a:ln w="9525">
          <a:noFill/>
          <a:miter lim="800000"/>
          <a:headEnd/>
          <a:tailEnd/>
        </a:ln>
      </xdr:spPr>
    </xdr:sp>
    <xdr:clientData/>
  </xdr:oneCellAnchor>
  <xdr:oneCellAnchor>
    <xdr:from>
      <xdr:col>9</xdr:col>
      <xdr:colOff>0</xdr:colOff>
      <xdr:row>23</xdr:row>
      <xdr:rowOff>0</xdr:rowOff>
    </xdr:from>
    <xdr:ext cx="123825" cy="842282"/>
    <xdr:sp macro="" textlink="">
      <xdr:nvSpPr>
        <xdr:cNvPr id="1104" name="Text Box 222">
          <a:extLst>
            <a:ext uri="{FF2B5EF4-FFF2-40B4-BE49-F238E27FC236}">
              <a16:creationId xmlns:a16="http://schemas.microsoft.com/office/drawing/2014/main" id="{00000000-0008-0000-0F00-000050040000}"/>
            </a:ext>
          </a:extLst>
        </xdr:cNvPr>
        <xdr:cNvSpPr txBox="1">
          <a:spLocks noChangeArrowheads="1"/>
        </xdr:cNvSpPr>
      </xdr:nvSpPr>
      <xdr:spPr bwMode="auto">
        <a:xfrm>
          <a:off x="5619750" y="10395857"/>
          <a:ext cx="123825" cy="842282"/>
        </a:xfrm>
        <a:prstGeom prst="rect">
          <a:avLst/>
        </a:prstGeom>
        <a:noFill/>
        <a:ln w="9525">
          <a:noFill/>
          <a:miter lim="800000"/>
          <a:headEnd/>
          <a:tailEnd/>
        </a:ln>
      </xdr:spPr>
    </xdr:sp>
    <xdr:clientData/>
  </xdr:oneCellAnchor>
  <xdr:oneCellAnchor>
    <xdr:from>
      <xdr:col>9</xdr:col>
      <xdr:colOff>0</xdr:colOff>
      <xdr:row>23</xdr:row>
      <xdr:rowOff>0</xdr:rowOff>
    </xdr:from>
    <xdr:ext cx="123825" cy="842282"/>
    <xdr:sp macro="" textlink="">
      <xdr:nvSpPr>
        <xdr:cNvPr id="1105" name="Text Box 223">
          <a:extLst>
            <a:ext uri="{FF2B5EF4-FFF2-40B4-BE49-F238E27FC236}">
              <a16:creationId xmlns:a16="http://schemas.microsoft.com/office/drawing/2014/main" id="{00000000-0008-0000-0F00-000051040000}"/>
            </a:ext>
          </a:extLst>
        </xdr:cNvPr>
        <xdr:cNvSpPr txBox="1">
          <a:spLocks noChangeArrowheads="1"/>
        </xdr:cNvSpPr>
      </xdr:nvSpPr>
      <xdr:spPr bwMode="auto">
        <a:xfrm>
          <a:off x="5619750" y="10395857"/>
          <a:ext cx="123825" cy="842282"/>
        </a:xfrm>
        <a:prstGeom prst="rect">
          <a:avLst/>
        </a:prstGeom>
        <a:noFill/>
        <a:ln w="9525">
          <a:noFill/>
          <a:miter lim="800000"/>
          <a:headEnd/>
          <a:tailEnd/>
        </a:ln>
      </xdr:spPr>
    </xdr:sp>
    <xdr:clientData/>
  </xdr:oneCellAnchor>
  <xdr:oneCellAnchor>
    <xdr:from>
      <xdr:col>9</xdr:col>
      <xdr:colOff>0</xdr:colOff>
      <xdr:row>23</xdr:row>
      <xdr:rowOff>0</xdr:rowOff>
    </xdr:from>
    <xdr:ext cx="123825" cy="842282"/>
    <xdr:sp macro="" textlink="">
      <xdr:nvSpPr>
        <xdr:cNvPr id="1106" name="Text Box 230">
          <a:extLst>
            <a:ext uri="{FF2B5EF4-FFF2-40B4-BE49-F238E27FC236}">
              <a16:creationId xmlns:a16="http://schemas.microsoft.com/office/drawing/2014/main" id="{00000000-0008-0000-0F00-000052040000}"/>
            </a:ext>
          </a:extLst>
        </xdr:cNvPr>
        <xdr:cNvSpPr txBox="1">
          <a:spLocks noChangeArrowheads="1"/>
        </xdr:cNvSpPr>
      </xdr:nvSpPr>
      <xdr:spPr bwMode="auto">
        <a:xfrm>
          <a:off x="5619750" y="10395857"/>
          <a:ext cx="123825" cy="842282"/>
        </a:xfrm>
        <a:prstGeom prst="rect">
          <a:avLst/>
        </a:prstGeom>
        <a:noFill/>
        <a:ln w="9525">
          <a:noFill/>
          <a:miter lim="800000"/>
          <a:headEnd/>
          <a:tailEnd/>
        </a:ln>
      </xdr:spPr>
    </xdr:sp>
    <xdr:clientData/>
  </xdr:oneCellAnchor>
  <xdr:oneCellAnchor>
    <xdr:from>
      <xdr:col>9</xdr:col>
      <xdr:colOff>0</xdr:colOff>
      <xdr:row>23</xdr:row>
      <xdr:rowOff>0</xdr:rowOff>
    </xdr:from>
    <xdr:ext cx="123825" cy="842282"/>
    <xdr:sp macro="" textlink="">
      <xdr:nvSpPr>
        <xdr:cNvPr id="1107" name="Text Box 231">
          <a:extLst>
            <a:ext uri="{FF2B5EF4-FFF2-40B4-BE49-F238E27FC236}">
              <a16:creationId xmlns:a16="http://schemas.microsoft.com/office/drawing/2014/main" id="{00000000-0008-0000-0F00-000053040000}"/>
            </a:ext>
          </a:extLst>
        </xdr:cNvPr>
        <xdr:cNvSpPr txBox="1">
          <a:spLocks noChangeArrowheads="1"/>
        </xdr:cNvSpPr>
      </xdr:nvSpPr>
      <xdr:spPr bwMode="auto">
        <a:xfrm>
          <a:off x="5619750" y="10395857"/>
          <a:ext cx="123825" cy="842282"/>
        </a:xfrm>
        <a:prstGeom prst="rect">
          <a:avLst/>
        </a:prstGeom>
        <a:noFill/>
        <a:ln w="9525">
          <a:noFill/>
          <a:miter lim="800000"/>
          <a:headEnd/>
          <a:tailEnd/>
        </a:ln>
      </xdr:spPr>
    </xdr:sp>
    <xdr:clientData/>
  </xdr:oneCellAnchor>
  <xdr:oneCellAnchor>
    <xdr:from>
      <xdr:col>9</xdr:col>
      <xdr:colOff>0</xdr:colOff>
      <xdr:row>23</xdr:row>
      <xdr:rowOff>0</xdr:rowOff>
    </xdr:from>
    <xdr:ext cx="123825" cy="842282"/>
    <xdr:sp macro="" textlink="">
      <xdr:nvSpPr>
        <xdr:cNvPr id="1108" name="Text Box 232">
          <a:extLst>
            <a:ext uri="{FF2B5EF4-FFF2-40B4-BE49-F238E27FC236}">
              <a16:creationId xmlns:a16="http://schemas.microsoft.com/office/drawing/2014/main" id="{00000000-0008-0000-0F00-000054040000}"/>
            </a:ext>
          </a:extLst>
        </xdr:cNvPr>
        <xdr:cNvSpPr txBox="1">
          <a:spLocks noChangeArrowheads="1"/>
        </xdr:cNvSpPr>
      </xdr:nvSpPr>
      <xdr:spPr bwMode="auto">
        <a:xfrm>
          <a:off x="5619750" y="10395857"/>
          <a:ext cx="123825" cy="842282"/>
        </a:xfrm>
        <a:prstGeom prst="rect">
          <a:avLst/>
        </a:prstGeom>
        <a:noFill/>
        <a:ln w="9525">
          <a:noFill/>
          <a:miter lim="800000"/>
          <a:headEnd/>
          <a:tailEnd/>
        </a:ln>
      </xdr:spPr>
    </xdr:sp>
    <xdr:clientData/>
  </xdr:oneCellAnchor>
  <xdr:oneCellAnchor>
    <xdr:from>
      <xdr:col>9</xdr:col>
      <xdr:colOff>0</xdr:colOff>
      <xdr:row>23</xdr:row>
      <xdr:rowOff>0</xdr:rowOff>
    </xdr:from>
    <xdr:ext cx="123825" cy="842282"/>
    <xdr:sp macro="" textlink="">
      <xdr:nvSpPr>
        <xdr:cNvPr id="1109" name="Text Box 233">
          <a:extLst>
            <a:ext uri="{FF2B5EF4-FFF2-40B4-BE49-F238E27FC236}">
              <a16:creationId xmlns:a16="http://schemas.microsoft.com/office/drawing/2014/main" id="{00000000-0008-0000-0F00-000055040000}"/>
            </a:ext>
          </a:extLst>
        </xdr:cNvPr>
        <xdr:cNvSpPr txBox="1">
          <a:spLocks noChangeArrowheads="1"/>
        </xdr:cNvSpPr>
      </xdr:nvSpPr>
      <xdr:spPr bwMode="auto">
        <a:xfrm>
          <a:off x="5619750" y="10395857"/>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1110" name="Text Box 216">
          <a:extLst>
            <a:ext uri="{FF2B5EF4-FFF2-40B4-BE49-F238E27FC236}">
              <a16:creationId xmlns:a16="http://schemas.microsoft.com/office/drawing/2014/main" id="{00000000-0008-0000-0F00-000056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1111" name="Text Box 217">
          <a:extLst>
            <a:ext uri="{FF2B5EF4-FFF2-40B4-BE49-F238E27FC236}">
              <a16:creationId xmlns:a16="http://schemas.microsoft.com/office/drawing/2014/main" id="{00000000-0008-0000-0F00-000057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1112" name="Text Box 218">
          <a:extLst>
            <a:ext uri="{FF2B5EF4-FFF2-40B4-BE49-F238E27FC236}">
              <a16:creationId xmlns:a16="http://schemas.microsoft.com/office/drawing/2014/main" id="{00000000-0008-0000-0F00-000058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1113" name="Text Box 219">
          <a:extLst>
            <a:ext uri="{FF2B5EF4-FFF2-40B4-BE49-F238E27FC236}">
              <a16:creationId xmlns:a16="http://schemas.microsoft.com/office/drawing/2014/main" id="{00000000-0008-0000-0F00-000059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1114" name="Text Box 220">
          <a:extLst>
            <a:ext uri="{FF2B5EF4-FFF2-40B4-BE49-F238E27FC236}">
              <a16:creationId xmlns:a16="http://schemas.microsoft.com/office/drawing/2014/main" id="{00000000-0008-0000-0F00-00005A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1115" name="Text Box 221">
          <a:extLst>
            <a:ext uri="{FF2B5EF4-FFF2-40B4-BE49-F238E27FC236}">
              <a16:creationId xmlns:a16="http://schemas.microsoft.com/office/drawing/2014/main" id="{00000000-0008-0000-0F00-00005B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1116" name="Text Box 222">
          <a:extLst>
            <a:ext uri="{FF2B5EF4-FFF2-40B4-BE49-F238E27FC236}">
              <a16:creationId xmlns:a16="http://schemas.microsoft.com/office/drawing/2014/main" id="{00000000-0008-0000-0F00-00005C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1117" name="Text Box 223">
          <a:extLst>
            <a:ext uri="{FF2B5EF4-FFF2-40B4-BE49-F238E27FC236}">
              <a16:creationId xmlns:a16="http://schemas.microsoft.com/office/drawing/2014/main" id="{00000000-0008-0000-0F00-00005D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1118" name="Text Box 230">
          <a:extLst>
            <a:ext uri="{FF2B5EF4-FFF2-40B4-BE49-F238E27FC236}">
              <a16:creationId xmlns:a16="http://schemas.microsoft.com/office/drawing/2014/main" id="{00000000-0008-0000-0F00-00005E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1119" name="Text Box 231">
          <a:extLst>
            <a:ext uri="{FF2B5EF4-FFF2-40B4-BE49-F238E27FC236}">
              <a16:creationId xmlns:a16="http://schemas.microsoft.com/office/drawing/2014/main" id="{00000000-0008-0000-0F00-00005F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1120" name="Text Box 232">
          <a:extLst>
            <a:ext uri="{FF2B5EF4-FFF2-40B4-BE49-F238E27FC236}">
              <a16:creationId xmlns:a16="http://schemas.microsoft.com/office/drawing/2014/main" id="{00000000-0008-0000-0F00-000060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1121" name="Text Box 233">
          <a:extLst>
            <a:ext uri="{FF2B5EF4-FFF2-40B4-BE49-F238E27FC236}">
              <a16:creationId xmlns:a16="http://schemas.microsoft.com/office/drawing/2014/main" id="{00000000-0008-0000-0F00-000061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8</xdr:col>
      <xdr:colOff>0</xdr:colOff>
      <xdr:row>23</xdr:row>
      <xdr:rowOff>0</xdr:rowOff>
    </xdr:from>
    <xdr:ext cx="123825" cy="842282"/>
    <xdr:sp macro="" textlink="">
      <xdr:nvSpPr>
        <xdr:cNvPr id="1122" name="Text Box 234">
          <a:extLst>
            <a:ext uri="{FF2B5EF4-FFF2-40B4-BE49-F238E27FC236}">
              <a16:creationId xmlns:a16="http://schemas.microsoft.com/office/drawing/2014/main" id="{00000000-0008-0000-0F00-000062040000}"/>
            </a:ext>
          </a:extLst>
        </xdr:cNvPr>
        <xdr:cNvSpPr txBox="1">
          <a:spLocks noChangeArrowheads="1"/>
        </xdr:cNvSpPr>
      </xdr:nvSpPr>
      <xdr:spPr bwMode="auto">
        <a:xfrm>
          <a:off x="3102429" y="10395857"/>
          <a:ext cx="123825" cy="842282"/>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123" name="Text Box 197">
          <a:extLst>
            <a:ext uri="{FF2B5EF4-FFF2-40B4-BE49-F238E27FC236}">
              <a16:creationId xmlns:a16="http://schemas.microsoft.com/office/drawing/2014/main" id="{00000000-0008-0000-0F00-000063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124" name="Text Box 198">
          <a:extLst>
            <a:ext uri="{FF2B5EF4-FFF2-40B4-BE49-F238E27FC236}">
              <a16:creationId xmlns:a16="http://schemas.microsoft.com/office/drawing/2014/main" id="{00000000-0008-0000-0F00-000064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125" name="Text Box 199">
          <a:extLst>
            <a:ext uri="{FF2B5EF4-FFF2-40B4-BE49-F238E27FC236}">
              <a16:creationId xmlns:a16="http://schemas.microsoft.com/office/drawing/2014/main" id="{00000000-0008-0000-0F00-000065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126" name="Text Box 200">
          <a:extLst>
            <a:ext uri="{FF2B5EF4-FFF2-40B4-BE49-F238E27FC236}">
              <a16:creationId xmlns:a16="http://schemas.microsoft.com/office/drawing/2014/main" id="{00000000-0008-0000-0F00-000066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127" name="Text Box 201">
          <a:extLst>
            <a:ext uri="{FF2B5EF4-FFF2-40B4-BE49-F238E27FC236}">
              <a16:creationId xmlns:a16="http://schemas.microsoft.com/office/drawing/2014/main" id="{00000000-0008-0000-0F00-000067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128" name="Text Box 202">
          <a:extLst>
            <a:ext uri="{FF2B5EF4-FFF2-40B4-BE49-F238E27FC236}">
              <a16:creationId xmlns:a16="http://schemas.microsoft.com/office/drawing/2014/main" id="{00000000-0008-0000-0F00-000068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129" name="Text Box 203">
          <a:extLst>
            <a:ext uri="{FF2B5EF4-FFF2-40B4-BE49-F238E27FC236}">
              <a16:creationId xmlns:a16="http://schemas.microsoft.com/office/drawing/2014/main" id="{00000000-0008-0000-0F00-000069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130" name="Text Box 204">
          <a:extLst>
            <a:ext uri="{FF2B5EF4-FFF2-40B4-BE49-F238E27FC236}">
              <a16:creationId xmlns:a16="http://schemas.microsoft.com/office/drawing/2014/main" id="{00000000-0008-0000-0F00-00006A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14300" cy="945696"/>
    <xdr:sp macro="" textlink="">
      <xdr:nvSpPr>
        <xdr:cNvPr id="1131" name="Text Box 205">
          <a:extLst>
            <a:ext uri="{FF2B5EF4-FFF2-40B4-BE49-F238E27FC236}">
              <a16:creationId xmlns:a16="http://schemas.microsoft.com/office/drawing/2014/main" id="{00000000-0008-0000-0F00-00006B040000}"/>
            </a:ext>
          </a:extLst>
        </xdr:cNvPr>
        <xdr:cNvSpPr txBox="1">
          <a:spLocks noChangeArrowheads="1"/>
        </xdr:cNvSpPr>
      </xdr:nvSpPr>
      <xdr:spPr bwMode="auto">
        <a:xfrm>
          <a:off x="3102429" y="10395857"/>
          <a:ext cx="114300" cy="945696"/>
        </a:xfrm>
        <a:prstGeom prst="rect">
          <a:avLst/>
        </a:prstGeom>
        <a:noFill/>
        <a:ln w="9525">
          <a:noFill/>
          <a:miter lim="800000"/>
          <a:headEnd/>
          <a:tailEnd/>
        </a:ln>
      </xdr:spPr>
    </xdr:sp>
    <xdr:clientData/>
  </xdr:oneCellAnchor>
  <xdr:oneCellAnchor>
    <xdr:from>
      <xdr:col>7</xdr:col>
      <xdr:colOff>0</xdr:colOff>
      <xdr:row>23</xdr:row>
      <xdr:rowOff>0</xdr:rowOff>
    </xdr:from>
    <xdr:ext cx="114300" cy="945696"/>
    <xdr:sp macro="" textlink="">
      <xdr:nvSpPr>
        <xdr:cNvPr id="1132" name="Text Box 206">
          <a:extLst>
            <a:ext uri="{FF2B5EF4-FFF2-40B4-BE49-F238E27FC236}">
              <a16:creationId xmlns:a16="http://schemas.microsoft.com/office/drawing/2014/main" id="{00000000-0008-0000-0F00-00006C040000}"/>
            </a:ext>
          </a:extLst>
        </xdr:cNvPr>
        <xdr:cNvSpPr txBox="1">
          <a:spLocks noChangeArrowheads="1"/>
        </xdr:cNvSpPr>
      </xdr:nvSpPr>
      <xdr:spPr bwMode="auto">
        <a:xfrm>
          <a:off x="3102429" y="10395857"/>
          <a:ext cx="114300" cy="945696"/>
        </a:xfrm>
        <a:prstGeom prst="rect">
          <a:avLst/>
        </a:prstGeom>
        <a:noFill/>
        <a:ln w="9525">
          <a:noFill/>
          <a:miter lim="800000"/>
          <a:headEnd/>
          <a:tailEnd/>
        </a:ln>
      </xdr:spPr>
    </xdr:sp>
    <xdr:clientData/>
  </xdr:oneCellAnchor>
  <xdr:oneCellAnchor>
    <xdr:from>
      <xdr:col>7</xdr:col>
      <xdr:colOff>0</xdr:colOff>
      <xdr:row>23</xdr:row>
      <xdr:rowOff>0</xdr:rowOff>
    </xdr:from>
    <xdr:ext cx="123825" cy="945696"/>
    <xdr:sp macro="" textlink="">
      <xdr:nvSpPr>
        <xdr:cNvPr id="1133" name="Text Box 207">
          <a:extLst>
            <a:ext uri="{FF2B5EF4-FFF2-40B4-BE49-F238E27FC236}">
              <a16:creationId xmlns:a16="http://schemas.microsoft.com/office/drawing/2014/main" id="{00000000-0008-0000-0F00-00006D040000}"/>
            </a:ext>
          </a:extLst>
        </xdr:cNvPr>
        <xdr:cNvSpPr txBox="1">
          <a:spLocks noChangeArrowheads="1"/>
        </xdr:cNvSpPr>
      </xdr:nvSpPr>
      <xdr:spPr bwMode="auto">
        <a:xfrm>
          <a:off x="3102429" y="10395857"/>
          <a:ext cx="123825" cy="945696"/>
        </a:xfrm>
        <a:prstGeom prst="rect">
          <a:avLst/>
        </a:prstGeom>
        <a:noFill/>
        <a:ln w="9525">
          <a:noFill/>
          <a:miter lim="800000"/>
          <a:headEnd/>
          <a:tailEnd/>
        </a:ln>
      </xdr:spPr>
    </xdr:sp>
    <xdr:clientData/>
  </xdr:oneCellAnchor>
  <xdr:oneCellAnchor>
    <xdr:from>
      <xdr:col>7</xdr:col>
      <xdr:colOff>0</xdr:colOff>
      <xdr:row>23</xdr:row>
      <xdr:rowOff>0</xdr:rowOff>
    </xdr:from>
    <xdr:ext cx="123825" cy="945696"/>
    <xdr:sp macro="" textlink="">
      <xdr:nvSpPr>
        <xdr:cNvPr id="1134" name="Text Box 208">
          <a:extLst>
            <a:ext uri="{FF2B5EF4-FFF2-40B4-BE49-F238E27FC236}">
              <a16:creationId xmlns:a16="http://schemas.microsoft.com/office/drawing/2014/main" id="{00000000-0008-0000-0F00-00006E040000}"/>
            </a:ext>
          </a:extLst>
        </xdr:cNvPr>
        <xdr:cNvSpPr txBox="1">
          <a:spLocks noChangeArrowheads="1"/>
        </xdr:cNvSpPr>
      </xdr:nvSpPr>
      <xdr:spPr bwMode="auto">
        <a:xfrm>
          <a:off x="3102429" y="10395857"/>
          <a:ext cx="123825" cy="945696"/>
        </a:xfrm>
        <a:prstGeom prst="rect">
          <a:avLst/>
        </a:prstGeom>
        <a:noFill/>
        <a:ln w="9525">
          <a:noFill/>
          <a:miter lim="800000"/>
          <a:headEnd/>
          <a:tailEnd/>
        </a:ln>
      </xdr:spPr>
    </xdr:sp>
    <xdr:clientData/>
  </xdr:oneCellAnchor>
  <xdr:oneCellAnchor>
    <xdr:from>
      <xdr:col>7</xdr:col>
      <xdr:colOff>0</xdr:colOff>
      <xdr:row>23</xdr:row>
      <xdr:rowOff>0</xdr:rowOff>
    </xdr:from>
    <xdr:ext cx="123825" cy="945696"/>
    <xdr:sp macro="" textlink="">
      <xdr:nvSpPr>
        <xdr:cNvPr id="1135" name="Text Box 209">
          <a:extLst>
            <a:ext uri="{FF2B5EF4-FFF2-40B4-BE49-F238E27FC236}">
              <a16:creationId xmlns:a16="http://schemas.microsoft.com/office/drawing/2014/main" id="{00000000-0008-0000-0F00-00006F040000}"/>
            </a:ext>
          </a:extLst>
        </xdr:cNvPr>
        <xdr:cNvSpPr txBox="1">
          <a:spLocks noChangeArrowheads="1"/>
        </xdr:cNvSpPr>
      </xdr:nvSpPr>
      <xdr:spPr bwMode="auto">
        <a:xfrm>
          <a:off x="3102429" y="10395857"/>
          <a:ext cx="123825" cy="945696"/>
        </a:xfrm>
        <a:prstGeom prst="rect">
          <a:avLst/>
        </a:prstGeom>
        <a:noFill/>
        <a:ln w="9525">
          <a:noFill/>
          <a:miter lim="800000"/>
          <a:headEnd/>
          <a:tailEnd/>
        </a:ln>
      </xdr:spPr>
    </xdr:sp>
    <xdr:clientData/>
  </xdr:oneCellAnchor>
  <xdr:oneCellAnchor>
    <xdr:from>
      <xdr:col>7</xdr:col>
      <xdr:colOff>0</xdr:colOff>
      <xdr:row>23</xdr:row>
      <xdr:rowOff>0</xdr:rowOff>
    </xdr:from>
    <xdr:ext cx="123825" cy="945696"/>
    <xdr:sp macro="" textlink="">
      <xdr:nvSpPr>
        <xdr:cNvPr id="1136" name="Text Box 210">
          <a:extLst>
            <a:ext uri="{FF2B5EF4-FFF2-40B4-BE49-F238E27FC236}">
              <a16:creationId xmlns:a16="http://schemas.microsoft.com/office/drawing/2014/main" id="{00000000-0008-0000-0F00-000070040000}"/>
            </a:ext>
          </a:extLst>
        </xdr:cNvPr>
        <xdr:cNvSpPr txBox="1">
          <a:spLocks noChangeArrowheads="1"/>
        </xdr:cNvSpPr>
      </xdr:nvSpPr>
      <xdr:spPr bwMode="auto">
        <a:xfrm>
          <a:off x="3102429" y="10395857"/>
          <a:ext cx="123825" cy="9456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137" name="Text Box 211">
          <a:extLst>
            <a:ext uri="{FF2B5EF4-FFF2-40B4-BE49-F238E27FC236}">
              <a16:creationId xmlns:a16="http://schemas.microsoft.com/office/drawing/2014/main" id="{00000000-0008-0000-0F00-000071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138" name="Text Box 212">
          <a:extLst>
            <a:ext uri="{FF2B5EF4-FFF2-40B4-BE49-F238E27FC236}">
              <a16:creationId xmlns:a16="http://schemas.microsoft.com/office/drawing/2014/main" id="{00000000-0008-0000-0F00-000072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139" name="Text Box 213">
          <a:extLst>
            <a:ext uri="{FF2B5EF4-FFF2-40B4-BE49-F238E27FC236}">
              <a16:creationId xmlns:a16="http://schemas.microsoft.com/office/drawing/2014/main" id="{00000000-0008-0000-0F00-000073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7</xdr:col>
      <xdr:colOff>0</xdr:colOff>
      <xdr:row>23</xdr:row>
      <xdr:rowOff>0</xdr:rowOff>
    </xdr:from>
    <xdr:ext cx="123825" cy="831396"/>
    <xdr:sp macro="" textlink="">
      <xdr:nvSpPr>
        <xdr:cNvPr id="1140" name="Text Box 214">
          <a:extLst>
            <a:ext uri="{FF2B5EF4-FFF2-40B4-BE49-F238E27FC236}">
              <a16:creationId xmlns:a16="http://schemas.microsoft.com/office/drawing/2014/main" id="{00000000-0008-0000-0F00-000074040000}"/>
            </a:ext>
          </a:extLst>
        </xdr:cNvPr>
        <xdr:cNvSpPr txBox="1">
          <a:spLocks noChangeArrowheads="1"/>
        </xdr:cNvSpPr>
      </xdr:nvSpPr>
      <xdr:spPr bwMode="auto">
        <a:xfrm>
          <a:off x="3102429"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141" name="Text Box 197">
          <a:extLst>
            <a:ext uri="{FF2B5EF4-FFF2-40B4-BE49-F238E27FC236}">
              <a16:creationId xmlns:a16="http://schemas.microsoft.com/office/drawing/2014/main" id="{00000000-0008-0000-0F00-000075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142" name="Text Box 198">
          <a:extLst>
            <a:ext uri="{FF2B5EF4-FFF2-40B4-BE49-F238E27FC236}">
              <a16:creationId xmlns:a16="http://schemas.microsoft.com/office/drawing/2014/main" id="{00000000-0008-0000-0F00-000076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143" name="Text Box 199">
          <a:extLst>
            <a:ext uri="{FF2B5EF4-FFF2-40B4-BE49-F238E27FC236}">
              <a16:creationId xmlns:a16="http://schemas.microsoft.com/office/drawing/2014/main" id="{00000000-0008-0000-0F00-000077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144" name="Text Box 200">
          <a:extLst>
            <a:ext uri="{FF2B5EF4-FFF2-40B4-BE49-F238E27FC236}">
              <a16:creationId xmlns:a16="http://schemas.microsoft.com/office/drawing/2014/main" id="{00000000-0008-0000-0F00-000078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145" name="Text Box 201">
          <a:extLst>
            <a:ext uri="{FF2B5EF4-FFF2-40B4-BE49-F238E27FC236}">
              <a16:creationId xmlns:a16="http://schemas.microsoft.com/office/drawing/2014/main" id="{00000000-0008-0000-0F00-000079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146" name="Text Box 202">
          <a:extLst>
            <a:ext uri="{FF2B5EF4-FFF2-40B4-BE49-F238E27FC236}">
              <a16:creationId xmlns:a16="http://schemas.microsoft.com/office/drawing/2014/main" id="{00000000-0008-0000-0F00-00007A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147" name="Text Box 203">
          <a:extLst>
            <a:ext uri="{FF2B5EF4-FFF2-40B4-BE49-F238E27FC236}">
              <a16:creationId xmlns:a16="http://schemas.microsoft.com/office/drawing/2014/main" id="{00000000-0008-0000-0F00-00007B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148" name="Text Box 204">
          <a:extLst>
            <a:ext uri="{FF2B5EF4-FFF2-40B4-BE49-F238E27FC236}">
              <a16:creationId xmlns:a16="http://schemas.microsoft.com/office/drawing/2014/main" id="{00000000-0008-0000-0F00-00007C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14300" cy="945696"/>
    <xdr:sp macro="" textlink="">
      <xdr:nvSpPr>
        <xdr:cNvPr id="1149" name="Text Box 205">
          <a:extLst>
            <a:ext uri="{FF2B5EF4-FFF2-40B4-BE49-F238E27FC236}">
              <a16:creationId xmlns:a16="http://schemas.microsoft.com/office/drawing/2014/main" id="{00000000-0008-0000-0F00-00007D040000}"/>
            </a:ext>
          </a:extLst>
        </xdr:cNvPr>
        <xdr:cNvSpPr txBox="1">
          <a:spLocks noChangeArrowheads="1"/>
        </xdr:cNvSpPr>
      </xdr:nvSpPr>
      <xdr:spPr bwMode="auto">
        <a:xfrm>
          <a:off x="5619750" y="10395857"/>
          <a:ext cx="114300" cy="945696"/>
        </a:xfrm>
        <a:prstGeom prst="rect">
          <a:avLst/>
        </a:prstGeom>
        <a:noFill/>
        <a:ln w="9525">
          <a:noFill/>
          <a:miter lim="800000"/>
          <a:headEnd/>
          <a:tailEnd/>
        </a:ln>
      </xdr:spPr>
    </xdr:sp>
    <xdr:clientData/>
  </xdr:oneCellAnchor>
  <xdr:oneCellAnchor>
    <xdr:from>
      <xdr:col>9</xdr:col>
      <xdr:colOff>0</xdr:colOff>
      <xdr:row>23</xdr:row>
      <xdr:rowOff>0</xdr:rowOff>
    </xdr:from>
    <xdr:ext cx="114300" cy="945696"/>
    <xdr:sp macro="" textlink="">
      <xdr:nvSpPr>
        <xdr:cNvPr id="1150" name="Text Box 206">
          <a:extLst>
            <a:ext uri="{FF2B5EF4-FFF2-40B4-BE49-F238E27FC236}">
              <a16:creationId xmlns:a16="http://schemas.microsoft.com/office/drawing/2014/main" id="{00000000-0008-0000-0F00-00007E040000}"/>
            </a:ext>
          </a:extLst>
        </xdr:cNvPr>
        <xdr:cNvSpPr txBox="1">
          <a:spLocks noChangeArrowheads="1"/>
        </xdr:cNvSpPr>
      </xdr:nvSpPr>
      <xdr:spPr bwMode="auto">
        <a:xfrm>
          <a:off x="5619750" y="10395857"/>
          <a:ext cx="114300" cy="945696"/>
        </a:xfrm>
        <a:prstGeom prst="rect">
          <a:avLst/>
        </a:prstGeom>
        <a:noFill/>
        <a:ln w="9525">
          <a:noFill/>
          <a:miter lim="800000"/>
          <a:headEnd/>
          <a:tailEnd/>
        </a:ln>
      </xdr:spPr>
    </xdr:sp>
    <xdr:clientData/>
  </xdr:oneCellAnchor>
  <xdr:oneCellAnchor>
    <xdr:from>
      <xdr:col>9</xdr:col>
      <xdr:colOff>0</xdr:colOff>
      <xdr:row>23</xdr:row>
      <xdr:rowOff>0</xdr:rowOff>
    </xdr:from>
    <xdr:ext cx="123825" cy="945696"/>
    <xdr:sp macro="" textlink="">
      <xdr:nvSpPr>
        <xdr:cNvPr id="1151" name="Text Box 207">
          <a:extLst>
            <a:ext uri="{FF2B5EF4-FFF2-40B4-BE49-F238E27FC236}">
              <a16:creationId xmlns:a16="http://schemas.microsoft.com/office/drawing/2014/main" id="{00000000-0008-0000-0F00-00007F040000}"/>
            </a:ext>
          </a:extLst>
        </xdr:cNvPr>
        <xdr:cNvSpPr txBox="1">
          <a:spLocks noChangeArrowheads="1"/>
        </xdr:cNvSpPr>
      </xdr:nvSpPr>
      <xdr:spPr bwMode="auto">
        <a:xfrm>
          <a:off x="5619750" y="10395857"/>
          <a:ext cx="123825" cy="945696"/>
        </a:xfrm>
        <a:prstGeom prst="rect">
          <a:avLst/>
        </a:prstGeom>
        <a:noFill/>
        <a:ln w="9525">
          <a:noFill/>
          <a:miter lim="800000"/>
          <a:headEnd/>
          <a:tailEnd/>
        </a:ln>
      </xdr:spPr>
    </xdr:sp>
    <xdr:clientData/>
  </xdr:oneCellAnchor>
  <xdr:oneCellAnchor>
    <xdr:from>
      <xdr:col>9</xdr:col>
      <xdr:colOff>0</xdr:colOff>
      <xdr:row>23</xdr:row>
      <xdr:rowOff>0</xdr:rowOff>
    </xdr:from>
    <xdr:ext cx="123825" cy="945696"/>
    <xdr:sp macro="" textlink="">
      <xdr:nvSpPr>
        <xdr:cNvPr id="1152" name="Text Box 208">
          <a:extLst>
            <a:ext uri="{FF2B5EF4-FFF2-40B4-BE49-F238E27FC236}">
              <a16:creationId xmlns:a16="http://schemas.microsoft.com/office/drawing/2014/main" id="{00000000-0008-0000-0F00-000080040000}"/>
            </a:ext>
          </a:extLst>
        </xdr:cNvPr>
        <xdr:cNvSpPr txBox="1">
          <a:spLocks noChangeArrowheads="1"/>
        </xdr:cNvSpPr>
      </xdr:nvSpPr>
      <xdr:spPr bwMode="auto">
        <a:xfrm>
          <a:off x="5619750" y="10395857"/>
          <a:ext cx="123825" cy="945696"/>
        </a:xfrm>
        <a:prstGeom prst="rect">
          <a:avLst/>
        </a:prstGeom>
        <a:noFill/>
        <a:ln w="9525">
          <a:noFill/>
          <a:miter lim="800000"/>
          <a:headEnd/>
          <a:tailEnd/>
        </a:ln>
      </xdr:spPr>
    </xdr:sp>
    <xdr:clientData/>
  </xdr:oneCellAnchor>
  <xdr:oneCellAnchor>
    <xdr:from>
      <xdr:col>9</xdr:col>
      <xdr:colOff>0</xdr:colOff>
      <xdr:row>23</xdr:row>
      <xdr:rowOff>0</xdr:rowOff>
    </xdr:from>
    <xdr:ext cx="123825" cy="945696"/>
    <xdr:sp macro="" textlink="">
      <xdr:nvSpPr>
        <xdr:cNvPr id="1153" name="Text Box 209">
          <a:extLst>
            <a:ext uri="{FF2B5EF4-FFF2-40B4-BE49-F238E27FC236}">
              <a16:creationId xmlns:a16="http://schemas.microsoft.com/office/drawing/2014/main" id="{00000000-0008-0000-0F00-000081040000}"/>
            </a:ext>
          </a:extLst>
        </xdr:cNvPr>
        <xdr:cNvSpPr txBox="1">
          <a:spLocks noChangeArrowheads="1"/>
        </xdr:cNvSpPr>
      </xdr:nvSpPr>
      <xdr:spPr bwMode="auto">
        <a:xfrm>
          <a:off x="5619750" y="10395857"/>
          <a:ext cx="123825" cy="945696"/>
        </a:xfrm>
        <a:prstGeom prst="rect">
          <a:avLst/>
        </a:prstGeom>
        <a:noFill/>
        <a:ln w="9525">
          <a:noFill/>
          <a:miter lim="800000"/>
          <a:headEnd/>
          <a:tailEnd/>
        </a:ln>
      </xdr:spPr>
    </xdr:sp>
    <xdr:clientData/>
  </xdr:oneCellAnchor>
  <xdr:oneCellAnchor>
    <xdr:from>
      <xdr:col>9</xdr:col>
      <xdr:colOff>0</xdr:colOff>
      <xdr:row>23</xdr:row>
      <xdr:rowOff>0</xdr:rowOff>
    </xdr:from>
    <xdr:ext cx="123825" cy="945696"/>
    <xdr:sp macro="" textlink="">
      <xdr:nvSpPr>
        <xdr:cNvPr id="1154" name="Text Box 210">
          <a:extLst>
            <a:ext uri="{FF2B5EF4-FFF2-40B4-BE49-F238E27FC236}">
              <a16:creationId xmlns:a16="http://schemas.microsoft.com/office/drawing/2014/main" id="{00000000-0008-0000-0F00-000082040000}"/>
            </a:ext>
          </a:extLst>
        </xdr:cNvPr>
        <xdr:cNvSpPr txBox="1">
          <a:spLocks noChangeArrowheads="1"/>
        </xdr:cNvSpPr>
      </xdr:nvSpPr>
      <xdr:spPr bwMode="auto">
        <a:xfrm>
          <a:off x="5619750" y="10395857"/>
          <a:ext cx="123825" cy="9456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155" name="Text Box 211">
          <a:extLst>
            <a:ext uri="{FF2B5EF4-FFF2-40B4-BE49-F238E27FC236}">
              <a16:creationId xmlns:a16="http://schemas.microsoft.com/office/drawing/2014/main" id="{00000000-0008-0000-0F00-000083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156" name="Text Box 212">
          <a:extLst>
            <a:ext uri="{FF2B5EF4-FFF2-40B4-BE49-F238E27FC236}">
              <a16:creationId xmlns:a16="http://schemas.microsoft.com/office/drawing/2014/main" id="{00000000-0008-0000-0F00-000084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157" name="Text Box 213">
          <a:extLst>
            <a:ext uri="{FF2B5EF4-FFF2-40B4-BE49-F238E27FC236}">
              <a16:creationId xmlns:a16="http://schemas.microsoft.com/office/drawing/2014/main" id="{00000000-0008-0000-0F00-000085040000}"/>
            </a:ext>
          </a:extLst>
        </xdr:cNvPr>
        <xdr:cNvSpPr txBox="1">
          <a:spLocks noChangeArrowheads="1"/>
        </xdr:cNvSpPr>
      </xdr:nvSpPr>
      <xdr:spPr bwMode="auto">
        <a:xfrm>
          <a:off x="5619750" y="10395857"/>
          <a:ext cx="123825" cy="831396"/>
        </a:xfrm>
        <a:prstGeom prst="rect">
          <a:avLst/>
        </a:prstGeom>
        <a:noFill/>
        <a:ln w="9525">
          <a:noFill/>
          <a:miter lim="800000"/>
          <a:headEnd/>
          <a:tailEnd/>
        </a:ln>
      </xdr:spPr>
    </xdr:sp>
    <xdr:clientData/>
  </xdr:oneCellAnchor>
  <xdr:oneCellAnchor>
    <xdr:from>
      <xdr:col>9</xdr:col>
      <xdr:colOff>0</xdr:colOff>
      <xdr:row>23</xdr:row>
      <xdr:rowOff>0</xdr:rowOff>
    </xdr:from>
    <xdr:ext cx="123825" cy="831396"/>
    <xdr:sp macro="" textlink="">
      <xdr:nvSpPr>
        <xdr:cNvPr id="1158" name="Text Box 214">
          <a:extLst>
            <a:ext uri="{FF2B5EF4-FFF2-40B4-BE49-F238E27FC236}">
              <a16:creationId xmlns:a16="http://schemas.microsoft.com/office/drawing/2014/main" id="{00000000-0008-0000-0F00-000086040000}"/>
            </a:ext>
          </a:extLst>
        </xdr:cNvPr>
        <xdr:cNvSpPr txBox="1">
          <a:spLocks noChangeArrowheads="1"/>
        </xdr:cNvSpPr>
      </xdr:nvSpPr>
      <xdr:spPr bwMode="auto">
        <a:xfrm>
          <a:off x="5646964" y="10395857"/>
          <a:ext cx="123825" cy="831396"/>
        </a:xfrm>
        <a:prstGeom prst="rect">
          <a:avLst/>
        </a:prstGeom>
        <a:noFill/>
        <a:ln w="9525">
          <a:noFill/>
          <a:miter lim="800000"/>
          <a:headEnd/>
          <a:tailEnd/>
        </a:ln>
      </xdr:spPr>
    </xdr:sp>
    <xdr:clientData/>
  </xdr:oneCellAnchor>
  <xdr:oneCellAnchor>
    <xdr:from>
      <xdr:col>5</xdr:col>
      <xdr:colOff>0</xdr:colOff>
      <xdr:row>14</xdr:row>
      <xdr:rowOff>0</xdr:rowOff>
    </xdr:from>
    <xdr:ext cx="123825" cy="1516592"/>
    <xdr:sp macro="" textlink="">
      <xdr:nvSpPr>
        <xdr:cNvPr id="1159" name="Text Box 216">
          <a:extLst>
            <a:ext uri="{FF2B5EF4-FFF2-40B4-BE49-F238E27FC236}">
              <a16:creationId xmlns:a16="http://schemas.microsoft.com/office/drawing/2014/main" id="{00000000-0008-0000-0F00-000087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5</xdr:col>
      <xdr:colOff>0</xdr:colOff>
      <xdr:row>14</xdr:row>
      <xdr:rowOff>0</xdr:rowOff>
    </xdr:from>
    <xdr:ext cx="123825" cy="1516592"/>
    <xdr:sp macro="" textlink="">
      <xdr:nvSpPr>
        <xdr:cNvPr id="1160" name="Text Box 217">
          <a:extLst>
            <a:ext uri="{FF2B5EF4-FFF2-40B4-BE49-F238E27FC236}">
              <a16:creationId xmlns:a16="http://schemas.microsoft.com/office/drawing/2014/main" id="{00000000-0008-0000-0F00-000088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5</xdr:col>
      <xdr:colOff>0</xdr:colOff>
      <xdr:row>14</xdr:row>
      <xdr:rowOff>0</xdr:rowOff>
    </xdr:from>
    <xdr:ext cx="123825" cy="1516592"/>
    <xdr:sp macro="" textlink="">
      <xdr:nvSpPr>
        <xdr:cNvPr id="1161" name="Text Box 218">
          <a:extLst>
            <a:ext uri="{FF2B5EF4-FFF2-40B4-BE49-F238E27FC236}">
              <a16:creationId xmlns:a16="http://schemas.microsoft.com/office/drawing/2014/main" id="{00000000-0008-0000-0F00-000089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5</xdr:col>
      <xdr:colOff>0</xdr:colOff>
      <xdr:row>14</xdr:row>
      <xdr:rowOff>0</xdr:rowOff>
    </xdr:from>
    <xdr:ext cx="123825" cy="1516592"/>
    <xdr:sp macro="" textlink="">
      <xdr:nvSpPr>
        <xdr:cNvPr id="1162" name="Text Box 219">
          <a:extLst>
            <a:ext uri="{FF2B5EF4-FFF2-40B4-BE49-F238E27FC236}">
              <a16:creationId xmlns:a16="http://schemas.microsoft.com/office/drawing/2014/main" id="{00000000-0008-0000-0F00-00008A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5</xdr:col>
      <xdr:colOff>0</xdr:colOff>
      <xdr:row>14</xdr:row>
      <xdr:rowOff>0</xdr:rowOff>
    </xdr:from>
    <xdr:ext cx="123825" cy="1516592"/>
    <xdr:sp macro="" textlink="">
      <xdr:nvSpPr>
        <xdr:cNvPr id="1163" name="Text Box 220">
          <a:extLst>
            <a:ext uri="{FF2B5EF4-FFF2-40B4-BE49-F238E27FC236}">
              <a16:creationId xmlns:a16="http://schemas.microsoft.com/office/drawing/2014/main" id="{00000000-0008-0000-0F00-00008B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5</xdr:col>
      <xdr:colOff>0</xdr:colOff>
      <xdr:row>14</xdr:row>
      <xdr:rowOff>0</xdr:rowOff>
    </xdr:from>
    <xdr:ext cx="123825" cy="1516592"/>
    <xdr:sp macro="" textlink="">
      <xdr:nvSpPr>
        <xdr:cNvPr id="1164" name="Text Box 221">
          <a:extLst>
            <a:ext uri="{FF2B5EF4-FFF2-40B4-BE49-F238E27FC236}">
              <a16:creationId xmlns:a16="http://schemas.microsoft.com/office/drawing/2014/main" id="{00000000-0008-0000-0F00-00008C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5</xdr:col>
      <xdr:colOff>0</xdr:colOff>
      <xdr:row>14</xdr:row>
      <xdr:rowOff>0</xdr:rowOff>
    </xdr:from>
    <xdr:ext cx="123825" cy="1516592"/>
    <xdr:sp macro="" textlink="">
      <xdr:nvSpPr>
        <xdr:cNvPr id="1165" name="Text Box 222">
          <a:extLst>
            <a:ext uri="{FF2B5EF4-FFF2-40B4-BE49-F238E27FC236}">
              <a16:creationId xmlns:a16="http://schemas.microsoft.com/office/drawing/2014/main" id="{00000000-0008-0000-0F00-00008D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5</xdr:col>
      <xdr:colOff>0</xdr:colOff>
      <xdr:row>14</xdr:row>
      <xdr:rowOff>0</xdr:rowOff>
    </xdr:from>
    <xdr:ext cx="123825" cy="1516592"/>
    <xdr:sp macro="" textlink="">
      <xdr:nvSpPr>
        <xdr:cNvPr id="1166" name="Text Box 223">
          <a:extLst>
            <a:ext uri="{FF2B5EF4-FFF2-40B4-BE49-F238E27FC236}">
              <a16:creationId xmlns:a16="http://schemas.microsoft.com/office/drawing/2014/main" id="{00000000-0008-0000-0F00-00008E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5</xdr:col>
      <xdr:colOff>0</xdr:colOff>
      <xdr:row>14</xdr:row>
      <xdr:rowOff>0</xdr:rowOff>
    </xdr:from>
    <xdr:ext cx="114300" cy="2128611"/>
    <xdr:sp macro="" textlink="">
      <xdr:nvSpPr>
        <xdr:cNvPr id="1167" name="Text Box 224">
          <a:extLst>
            <a:ext uri="{FF2B5EF4-FFF2-40B4-BE49-F238E27FC236}">
              <a16:creationId xmlns:a16="http://schemas.microsoft.com/office/drawing/2014/main" id="{00000000-0008-0000-0F00-00008F040000}"/>
            </a:ext>
          </a:extLst>
        </xdr:cNvPr>
        <xdr:cNvSpPr txBox="1">
          <a:spLocks noChangeArrowheads="1"/>
        </xdr:cNvSpPr>
      </xdr:nvSpPr>
      <xdr:spPr bwMode="auto">
        <a:xfrm>
          <a:off x="3100917" y="6032500"/>
          <a:ext cx="114300" cy="2128611"/>
        </a:xfrm>
        <a:prstGeom prst="rect">
          <a:avLst/>
        </a:prstGeom>
        <a:noFill/>
        <a:ln w="9525">
          <a:noFill/>
          <a:miter lim="800000"/>
          <a:headEnd/>
          <a:tailEnd/>
        </a:ln>
      </xdr:spPr>
    </xdr:sp>
    <xdr:clientData/>
  </xdr:oneCellAnchor>
  <xdr:oneCellAnchor>
    <xdr:from>
      <xdr:col>5</xdr:col>
      <xdr:colOff>0</xdr:colOff>
      <xdr:row>14</xdr:row>
      <xdr:rowOff>0</xdr:rowOff>
    </xdr:from>
    <xdr:ext cx="123825" cy="2128611"/>
    <xdr:sp macro="" textlink="">
      <xdr:nvSpPr>
        <xdr:cNvPr id="1168" name="Text Box 226">
          <a:extLst>
            <a:ext uri="{FF2B5EF4-FFF2-40B4-BE49-F238E27FC236}">
              <a16:creationId xmlns:a16="http://schemas.microsoft.com/office/drawing/2014/main" id="{00000000-0008-0000-0F00-000090040000}"/>
            </a:ext>
          </a:extLst>
        </xdr:cNvPr>
        <xdr:cNvSpPr txBox="1">
          <a:spLocks noChangeArrowheads="1"/>
        </xdr:cNvSpPr>
      </xdr:nvSpPr>
      <xdr:spPr bwMode="auto">
        <a:xfrm>
          <a:off x="3100917" y="6032500"/>
          <a:ext cx="123825" cy="2128611"/>
        </a:xfrm>
        <a:prstGeom prst="rect">
          <a:avLst/>
        </a:prstGeom>
        <a:noFill/>
        <a:ln w="9525">
          <a:noFill/>
          <a:miter lim="800000"/>
          <a:headEnd/>
          <a:tailEnd/>
        </a:ln>
      </xdr:spPr>
    </xdr:sp>
    <xdr:clientData/>
  </xdr:oneCellAnchor>
  <xdr:oneCellAnchor>
    <xdr:from>
      <xdr:col>5</xdr:col>
      <xdr:colOff>0</xdr:colOff>
      <xdr:row>14</xdr:row>
      <xdr:rowOff>0</xdr:rowOff>
    </xdr:from>
    <xdr:ext cx="123825" cy="2128611"/>
    <xdr:sp macro="" textlink="">
      <xdr:nvSpPr>
        <xdr:cNvPr id="1169" name="Text Box 227">
          <a:extLst>
            <a:ext uri="{FF2B5EF4-FFF2-40B4-BE49-F238E27FC236}">
              <a16:creationId xmlns:a16="http://schemas.microsoft.com/office/drawing/2014/main" id="{00000000-0008-0000-0F00-000091040000}"/>
            </a:ext>
          </a:extLst>
        </xdr:cNvPr>
        <xdr:cNvSpPr txBox="1">
          <a:spLocks noChangeArrowheads="1"/>
        </xdr:cNvSpPr>
      </xdr:nvSpPr>
      <xdr:spPr bwMode="auto">
        <a:xfrm>
          <a:off x="3100917" y="6032500"/>
          <a:ext cx="123825" cy="2128611"/>
        </a:xfrm>
        <a:prstGeom prst="rect">
          <a:avLst/>
        </a:prstGeom>
        <a:noFill/>
        <a:ln w="9525">
          <a:noFill/>
          <a:miter lim="800000"/>
          <a:headEnd/>
          <a:tailEnd/>
        </a:ln>
      </xdr:spPr>
    </xdr:sp>
    <xdr:clientData/>
  </xdr:oneCellAnchor>
  <xdr:oneCellAnchor>
    <xdr:from>
      <xdr:col>5</xdr:col>
      <xdr:colOff>0</xdr:colOff>
      <xdr:row>14</xdr:row>
      <xdr:rowOff>0</xdr:rowOff>
    </xdr:from>
    <xdr:ext cx="123825" cy="2128611"/>
    <xdr:sp macro="" textlink="">
      <xdr:nvSpPr>
        <xdr:cNvPr id="1170" name="Text Box 228">
          <a:extLst>
            <a:ext uri="{FF2B5EF4-FFF2-40B4-BE49-F238E27FC236}">
              <a16:creationId xmlns:a16="http://schemas.microsoft.com/office/drawing/2014/main" id="{00000000-0008-0000-0F00-000092040000}"/>
            </a:ext>
          </a:extLst>
        </xdr:cNvPr>
        <xdr:cNvSpPr txBox="1">
          <a:spLocks noChangeArrowheads="1"/>
        </xdr:cNvSpPr>
      </xdr:nvSpPr>
      <xdr:spPr bwMode="auto">
        <a:xfrm>
          <a:off x="3100917" y="6032500"/>
          <a:ext cx="123825" cy="2128611"/>
        </a:xfrm>
        <a:prstGeom prst="rect">
          <a:avLst/>
        </a:prstGeom>
        <a:noFill/>
        <a:ln w="9525">
          <a:noFill/>
          <a:miter lim="800000"/>
          <a:headEnd/>
          <a:tailEnd/>
        </a:ln>
      </xdr:spPr>
    </xdr:sp>
    <xdr:clientData/>
  </xdr:oneCellAnchor>
  <xdr:oneCellAnchor>
    <xdr:from>
      <xdr:col>5</xdr:col>
      <xdr:colOff>0</xdr:colOff>
      <xdr:row>14</xdr:row>
      <xdr:rowOff>0</xdr:rowOff>
    </xdr:from>
    <xdr:ext cx="123825" cy="2128611"/>
    <xdr:sp macro="" textlink="">
      <xdr:nvSpPr>
        <xdr:cNvPr id="1171" name="Text Box 229">
          <a:extLst>
            <a:ext uri="{FF2B5EF4-FFF2-40B4-BE49-F238E27FC236}">
              <a16:creationId xmlns:a16="http://schemas.microsoft.com/office/drawing/2014/main" id="{00000000-0008-0000-0F00-000093040000}"/>
            </a:ext>
          </a:extLst>
        </xdr:cNvPr>
        <xdr:cNvSpPr txBox="1">
          <a:spLocks noChangeArrowheads="1"/>
        </xdr:cNvSpPr>
      </xdr:nvSpPr>
      <xdr:spPr bwMode="auto">
        <a:xfrm>
          <a:off x="3100917" y="6032500"/>
          <a:ext cx="123825" cy="2128611"/>
        </a:xfrm>
        <a:prstGeom prst="rect">
          <a:avLst/>
        </a:prstGeom>
        <a:noFill/>
        <a:ln w="9525">
          <a:noFill/>
          <a:miter lim="800000"/>
          <a:headEnd/>
          <a:tailEnd/>
        </a:ln>
      </xdr:spPr>
    </xdr:sp>
    <xdr:clientData/>
  </xdr:oneCellAnchor>
  <xdr:oneCellAnchor>
    <xdr:from>
      <xdr:col>5</xdr:col>
      <xdr:colOff>0</xdr:colOff>
      <xdr:row>14</xdr:row>
      <xdr:rowOff>0</xdr:rowOff>
    </xdr:from>
    <xdr:ext cx="123825" cy="1516592"/>
    <xdr:sp macro="" textlink="">
      <xdr:nvSpPr>
        <xdr:cNvPr id="1172" name="Text Box 230">
          <a:extLst>
            <a:ext uri="{FF2B5EF4-FFF2-40B4-BE49-F238E27FC236}">
              <a16:creationId xmlns:a16="http://schemas.microsoft.com/office/drawing/2014/main" id="{00000000-0008-0000-0F00-000094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5</xdr:col>
      <xdr:colOff>0</xdr:colOff>
      <xdr:row>14</xdr:row>
      <xdr:rowOff>0</xdr:rowOff>
    </xdr:from>
    <xdr:ext cx="123825" cy="1516592"/>
    <xdr:sp macro="" textlink="">
      <xdr:nvSpPr>
        <xdr:cNvPr id="1173" name="Text Box 231">
          <a:extLst>
            <a:ext uri="{FF2B5EF4-FFF2-40B4-BE49-F238E27FC236}">
              <a16:creationId xmlns:a16="http://schemas.microsoft.com/office/drawing/2014/main" id="{00000000-0008-0000-0F00-000095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5</xdr:col>
      <xdr:colOff>0</xdr:colOff>
      <xdr:row>14</xdr:row>
      <xdr:rowOff>0</xdr:rowOff>
    </xdr:from>
    <xdr:ext cx="123825" cy="1516592"/>
    <xdr:sp macro="" textlink="">
      <xdr:nvSpPr>
        <xdr:cNvPr id="1174" name="Text Box 232">
          <a:extLst>
            <a:ext uri="{FF2B5EF4-FFF2-40B4-BE49-F238E27FC236}">
              <a16:creationId xmlns:a16="http://schemas.microsoft.com/office/drawing/2014/main" id="{00000000-0008-0000-0F00-000096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5</xdr:col>
      <xdr:colOff>0</xdr:colOff>
      <xdr:row>14</xdr:row>
      <xdr:rowOff>0</xdr:rowOff>
    </xdr:from>
    <xdr:ext cx="123825" cy="1516592"/>
    <xdr:sp macro="" textlink="">
      <xdr:nvSpPr>
        <xdr:cNvPr id="1175" name="Text Box 233">
          <a:extLst>
            <a:ext uri="{FF2B5EF4-FFF2-40B4-BE49-F238E27FC236}">
              <a16:creationId xmlns:a16="http://schemas.microsoft.com/office/drawing/2014/main" id="{00000000-0008-0000-0F00-000097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5</xdr:col>
      <xdr:colOff>0</xdr:colOff>
      <xdr:row>14</xdr:row>
      <xdr:rowOff>0</xdr:rowOff>
    </xdr:from>
    <xdr:ext cx="123825" cy="1516592"/>
    <xdr:sp macro="" textlink="">
      <xdr:nvSpPr>
        <xdr:cNvPr id="1176" name="Text Box 234">
          <a:extLst>
            <a:ext uri="{FF2B5EF4-FFF2-40B4-BE49-F238E27FC236}">
              <a16:creationId xmlns:a16="http://schemas.microsoft.com/office/drawing/2014/main" id="{00000000-0008-0000-0F00-000098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6</xdr:col>
      <xdr:colOff>0</xdr:colOff>
      <xdr:row>14</xdr:row>
      <xdr:rowOff>0</xdr:rowOff>
    </xdr:from>
    <xdr:ext cx="123825" cy="1516592"/>
    <xdr:sp macro="" textlink="">
      <xdr:nvSpPr>
        <xdr:cNvPr id="1177" name="Text Box 216">
          <a:extLst>
            <a:ext uri="{FF2B5EF4-FFF2-40B4-BE49-F238E27FC236}">
              <a16:creationId xmlns:a16="http://schemas.microsoft.com/office/drawing/2014/main" id="{00000000-0008-0000-0F00-000099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6</xdr:col>
      <xdr:colOff>0</xdr:colOff>
      <xdr:row>14</xdr:row>
      <xdr:rowOff>0</xdr:rowOff>
    </xdr:from>
    <xdr:ext cx="123825" cy="1516592"/>
    <xdr:sp macro="" textlink="">
      <xdr:nvSpPr>
        <xdr:cNvPr id="1178" name="Text Box 217">
          <a:extLst>
            <a:ext uri="{FF2B5EF4-FFF2-40B4-BE49-F238E27FC236}">
              <a16:creationId xmlns:a16="http://schemas.microsoft.com/office/drawing/2014/main" id="{00000000-0008-0000-0F00-00009A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6</xdr:col>
      <xdr:colOff>0</xdr:colOff>
      <xdr:row>14</xdr:row>
      <xdr:rowOff>0</xdr:rowOff>
    </xdr:from>
    <xdr:ext cx="123825" cy="1516592"/>
    <xdr:sp macro="" textlink="">
      <xdr:nvSpPr>
        <xdr:cNvPr id="1179" name="Text Box 218">
          <a:extLst>
            <a:ext uri="{FF2B5EF4-FFF2-40B4-BE49-F238E27FC236}">
              <a16:creationId xmlns:a16="http://schemas.microsoft.com/office/drawing/2014/main" id="{00000000-0008-0000-0F00-00009B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6</xdr:col>
      <xdr:colOff>0</xdr:colOff>
      <xdr:row>14</xdr:row>
      <xdr:rowOff>0</xdr:rowOff>
    </xdr:from>
    <xdr:ext cx="123825" cy="1516592"/>
    <xdr:sp macro="" textlink="">
      <xdr:nvSpPr>
        <xdr:cNvPr id="1180" name="Text Box 219">
          <a:extLst>
            <a:ext uri="{FF2B5EF4-FFF2-40B4-BE49-F238E27FC236}">
              <a16:creationId xmlns:a16="http://schemas.microsoft.com/office/drawing/2014/main" id="{00000000-0008-0000-0F00-00009C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6</xdr:col>
      <xdr:colOff>0</xdr:colOff>
      <xdr:row>14</xdr:row>
      <xdr:rowOff>0</xdr:rowOff>
    </xdr:from>
    <xdr:ext cx="123825" cy="1516592"/>
    <xdr:sp macro="" textlink="">
      <xdr:nvSpPr>
        <xdr:cNvPr id="1181" name="Text Box 220">
          <a:extLst>
            <a:ext uri="{FF2B5EF4-FFF2-40B4-BE49-F238E27FC236}">
              <a16:creationId xmlns:a16="http://schemas.microsoft.com/office/drawing/2014/main" id="{00000000-0008-0000-0F00-00009D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6</xdr:col>
      <xdr:colOff>0</xdr:colOff>
      <xdr:row>14</xdr:row>
      <xdr:rowOff>0</xdr:rowOff>
    </xdr:from>
    <xdr:ext cx="123825" cy="1516592"/>
    <xdr:sp macro="" textlink="">
      <xdr:nvSpPr>
        <xdr:cNvPr id="1182" name="Text Box 221">
          <a:extLst>
            <a:ext uri="{FF2B5EF4-FFF2-40B4-BE49-F238E27FC236}">
              <a16:creationId xmlns:a16="http://schemas.microsoft.com/office/drawing/2014/main" id="{00000000-0008-0000-0F00-00009E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6</xdr:col>
      <xdr:colOff>0</xdr:colOff>
      <xdr:row>14</xdr:row>
      <xdr:rowOff>0</xdr:rowOff>
    </xdr:from>
    <xdr:ext cx="123825" cy="1516592"/>
    <xdr:sp macro="" textlink="">
      <xdr:nvSpPr>
        <xdr:cNvPr id="1183" name="Text Box 222">
          <a:extLst>
            <a:ext uri="{FF2B5EF4-FFF2-40B4-BE49-F238E27FC236}">
              <a16:creationId xmlns:a16="http://schemas.microsoft.com/office/drawing/2014/main" id="{00000000-0008-0000-0F00-00009F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6</xdr:col>
      <xdr:colOff>0</xdr:colOff>
      <xdr:row>14</xdr:row>
      <xdr:rowOff>0</xdr:rowOff>
    </xdr:from>
    <xdr:ext cx="123825" cy="1516592"/>
    <xdr:sp macro="" textlink="">
      <xdr:nvSpPr>
        <xdr:cNvPr id="1184" name="Text Box 223">
          <a:extLst>
            <a:ext uri="{FF2B5EF4-FFF2-40B4-BE49-F238E27FC236}">
              <a16:creationId xmlns:a16="http://schemas.microsoft.com/office/drawing/2014/main" id="{00000000-0008-0000-0F00-0000A0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6</xdr:col>
      <xdr:colOff>0</xdr:colOff>
      <xdr:row>14</xdr:row>
      <xdr:rowOff>0</xdr:rowOff>
    </xdr:from>
    <xdr:ext cx="114300" cy="2128611"/>
    <xdr:sp macro="" textlink="">
      <xdr:nvSpPr>
        <xdr:cNvPr id="1185" name="Text Box 224">
          <a:extLst>
            <a:ext uri="{FF2B5EF4-FFF2-40B4-BE49-F238E27FC236}">
              <a16:creationId xmlns:a16="http://schemas.microsoft.com/office/drawing/2014/main" id="{00000000-0008-0000-0F00-0000A1040000}"/>
            </a:ext>
          </a:extLst>
        </xdr:cNvPr>
        <xdr:cNvSpPr txBox="1">
          <a:spLocks noChangeArrowheads="1"/>
        </xdr:cNvSpPr>
      </xdr:nvSpPr>
      <xdr:spPr bwMode="auto">
        <a:xfrm>
          <a:off x="3100917" y="6032500"/>
          <a:ext cx="114300" cy="2128611"/>
        </a:xfrm>
        <a:prstGeom prst="rect">
          <a:avLst/>
        </a:prstGeom>
        <a:noFill/>
        <a:ln w="9525">
          <a:noFill/>
          <a:miter lim="800000"/>
          <a:headEnd/>
          <a:tailEnd/>
        </a:ln>
      </xdr:spPr>
    </xdr:sp>
    <xdr:clientData/>
  </xdr:oneCellAnchor>
  <xdr:oneCellAnchor>
    <xdr:from>
      <xdr:col>6</xdr:col>
      <xdr:colOff>0</xdr:colOff>
      <xdr:row>14</xdr:row>
      <xdr:rowOff>0</xdr:rowOff>
    </xdr:from>
    <xdr:ext cx="123825" cy="2128611"/>
    <xdr:sp macro="" textlink="">
      <xdr:nvSpPr>
        <xdr:cNvPr id="1186" name="Text Box 226">
          <a:extLst>
            <a:ext uri="{FF2B5EF4-FFF2-40B4-BE49-F238E27FC236}">
              <a16:creationId xmlns:a16="http://schemas.microsoft.com/office/drawing/2014/main" id="{00000000-0008-0000-0F00-0000A2040000}"/>
            </a:ext>
          </a:extLst>
        </xdr:cNvPr>
        <xdr:cNvSpPr txBox="1">
          <a:spLocks noChangeArrowheads="1"/>
        </xdr:cNvSpPr>
      </xdr:nvSpPr>
      <xdr:spPr bwMode="auto">
        <a:xfrm>
          <a:off x="3100917" y="6032500"/>
          <a:ext cx="123825" cy="2128611"/>
        </a:xfrm>
        <a:prstGeom prst="rect">
          <a:avLst/>
        </a:prstGeom>
        <a:noFill/>
        <a:ln w="9525">
          <a:noFill/>
          <a:miter lim="800000"/>
          <a:headEnd/>
          <a:tailEnd/>
        </a:ln>
      </xdr:spPr>
    </xdr:sp>
    <xdr:clientData/>
  </xdr:oneCellAnchor>
  <xdr:oneCellAnchor>
    <xdr:from>
      <xdr:col>6</xdr:col>
      <xdr:colOff>0</xdr:colOff>
      <xdr:row>14</xdr:row>
      <xdr:rowOff>0</xdr:rowOff>
    </xdr:from>
    <xdr:ext cx="123825" cy="2128611"/>
    <xdr:sp macro="" textlink="">
      <xdr:nvSpPr>
        <xdr:cNvPr id="1187" name="Text Box 227">
          <a:extLst>
            <a:ext uri="{FF2B5EF4-FFF2-40B4-BE49-F238E27FC236}">
              <a16:creationId xmlns:a16="http://schemas.microsoft.com/office/drawing/2014/main" id="{00000000-0008-0000-0F00-0000A3040000}"/>
            </a:ext>
          </a:extLst>
        </xdr:cNvPr>
        <xdr:cNvSpPr txBox="1">
          <a:spLocks noChangeArrowheads="1"/>
        </xdr:cNvSpPr>
      </xdr:nvSpPr>
      <xdr:spPr bwMode="auto">
        <a:xfrm>
          <a:off x="3100917" y="6032500"/>
          <a:ext cx="123825" cy="2128611"/>
        </a:xfrm>
        <a:prstGeom prst="rect">
          <a:avLst/>
        </a:prstGeom>
        <a:noFill/>
        <a:ln w="9525">
          <a:noFill/>
          <a:miter lim="800000"/>
          <a:headEnd/>
          <a:tailEnd/>
        </a:ln>
      </xdr:spPr>
    </xdr:sp>
    <xdr:clientData/>
  </xdr:oneCellAnchor>
  <xdr:oneCellAnchor>
    <xdr:from>
      <xdr:col>6</xdr:col>
      <xdr:colOff>0</xdr:colOff>
      <xdr:row>14</xdr:row>
      <xdr:rowOff>0</xdr:rowOff>
    </xdr:from>
    <xdr:ext cx="123825" cy="2128611"/>
    <xdr:sp macro="" textlink="">
      <xdr:nvSpPr>
        <xdr:cNvPr id="1188" name="Text Box 228">
          <a:extLst>
            <a:ext uri="{FF2B5EF4-FFF2-40B4-BE49-F238E27FC236}">
              <a16:creationId xmlns:a16="http://schemas.microsoft.com/office/drawing/2014/main" id="{00000000-0008-0000-0F00-0000A4040000}"/>
            </a:ext>
          </a:extLst>
        </xdr:cNvPr>
        <xdr:cNvSpPr txBox="1">
          <a:spLocks noChangeArrowheads="1"/>
        </xdr:cNvSpPr>
      </xdr:nvSpPr>
      <xdr:spPr bwMode="auto">
        <a:xfrm>
          <a:off x="3100917" y="6032500"/>
          <a:ext cx="123825" cy="2128611"/>
        </a:xfrm>
        <a:prstGeom prst="rect">
          <a:avLst/>
        </a:prstGeom>
        <a:noFill/>
        <a:ln w="9525">
          <a:noFill/>
          <a:miter lim="800000"/>
          <a:headEnd/>
          <a:tailEnd/>
        </a:ln>
      </xdr:spPr>
    </xdr:sp>
    <xdr:clientData/>
  </xdr:oneCellAnchor>
  <xdr:oneCellAnchor>
    <xdr:from>
      <xdr:col>6</xdr:col>
      <xdr:colOff>0</xdr:colOff>
      <xdr:row>14</xdr:row>
      <xdr:rowOff>0</xdr:rowOff>
    </xdr:from>
    <xdr:ext cx="123825" cy="2128611"/>
    <xdr:sp macro="" textlink="">
      <xdr:nvSpPr>
        <xdr:cNvPr id="1189" name="Text Box 229">
          <a:extLst>
            <a:ext uri="{FF2B5EF4-FFF2-40B4-BE49-F238E27FC236}">
              <a16:creationId xmlns:a16="http://schemas.microsoft.com/office/drawing/2014/main" id="{00000000-0008-0000-0F00-0000A5040000}"/>
            </a:ext>
          </a:extLst>
        </xdr:cNvPr>
        <xdr:cNvSpPr txBox="1">
          <a:spLocks noChangeArrowheads="1"/>
        </xdr:cNvSpPr>
      </xdr:nvSpPr>
      <xdr:spPr bwMode="auto">
        <a:xfrm>
          <a:off x="3100917" y="6032500"/>
          <a:ext cx="123825" cy="2128611"/>
        </a:xfrm>
        <a:prstGeom prst="rect">
          <a:avLst/>
        </a:prstGeom>
        <a:noFill/>
        <a:ln w="9525">
          <a:noFill/>
          <a:miter lim="800000"/>
          <a:headEnd/>
          <a:tailEnd/>
        </a:ln>
      </xdr:spPr>
    </xdr:sp>
    <xdr:clientData/>
  </xdr:oneCellAnchor>
  <xdr:oneCellAnchor>
    <xdr:from>
      <xdr:col>6</xdr:col>
      <xdr:colOff>0</xdr:colOff>
      <xdr:row>14</xdr:row>
      <xdr:rowOff>0</xdr:rowOff>
    </xdr:from>
    <xdr:ext cx="123825" cy="1516592"/>
    <xdr:sp macro="" textlink="">
      <xdr:nvSpPr>
        <xdr:cNvPr id="1190" name="Text Box 230">
          <a:extLst>
            <a:ext uri="{FF2B5EF4-FFF2-40B4-BE49-F238E27FC236}">
              <a16:creationId xmlns:a16="http://schemas.microsoft.com/office/drawing/2014/main" id="{00000000-0008-0000-0F00-0000A6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6</xdr:col>
      <xdr:colOff>0</xdr:colOff>
      <xdr:row>14</xdr:row>
      <xdr:rowOff>0</xdr:rowOff>
    </xdr:from>
    <xdr:ext cx="123825" cy="1516592"/>
    <xdr:sp macro="" textlink="">
      <xdr:nvSpPr>
        <xdr:cNvPr id="1191" name="Text Box 231">
          <a:extLst>
            <a:ext uri="{FF2B5EF4-FFF2-40B4-BE49-F238E27FC236}">
              <a16:creationId xmlns:a16="http://schemas.microsoft.com/office/drawing/2014/main" id="{00000000-0008-0000-0F00-0000A7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6</xdr:col>
      <xdr:colOff>0</xdr:colOff>
      <xdr:row>14</xdr:row>
      <xdr:rowOff>0</xdr:rowOff>
    </xdr:from>
    <xdr:ext cx="123825" cy="1516592"/>
    <xdr:sp macro="" textlink="">
      <xdr:nvSpPr>
        <xdr:cNvPr id="1192" name="Text Box 232">
          <a:extLst>
            <a:ext uri="{FF2B5EF4-FFF2-40B4-BE49-F238E27FC236}">
              <a16:creationId xmlns:a16="http://schemas.microsoft.com/office/drawing/2014/main" id="{00000000-0008-0000-0F00-0000A8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6</xdr:col>
      <xdr:colOff>0</xdr:colOff>
      <xdr:row>14</xdr:row>
      <xdr:rowOff>0</xdr:rowOff>
    </xdr:from>
    <xdr:ext cx="123825" cy="1516592"/>
    <xdr:sp macro="" textlink="">
      <xdr:nvSpPr>
        <xdr:cNvPr id="1193" name="Text Box 233">
          <a:extLst>
            <a:ext uri="{FF2B5EF4-FFF2-40B4-BE49-F238E27FC236}">
              <a16:creationId xmlns:a16="http://schemas.microsoft.com/office/drawing/2014/main" id="{00000000-0008-0000-0F00-0000A9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6</xdr:col>
      <xdr:colOff>0</xdr:colOff>
      <xdr:row>14</xdr:row>
      <xdr:rowOff>0</xdr:rowOff>
    </xdr:from>
    <xdr:ext cx="123825" cy="1516592"/>
    <xdr:sp macro="" textlink="">
      <xdr:nvSpPr>
        <xdr:cNvPr id="1194" name="Text Box 234">
          <a:extLst>
            <a:ext uri="{FF2B5EF4-FFF2-40B4-BE49-F238E27FC236}">
              <a16:creationId xmlns:a16="http://schemas.microsoft.com/office/drawing/2014/main" id="{00000000-0008-0000-0F00-0000AA040000}"/>
            </a:ext>
          </a:extLst>
        </xdr:cNvPr>
        <xdr:cNvSpPr txBox="1">
          <a:spLocks noChangeArrowheads="1"/>
        </xdr:cNvSpPr>
      </xdr:nvSpPr>
      <xdr:spPr bwMode="auto">
        <a:xfrm>
          <a:off x="3100917" y="6032500"/>
          <a:ext cx="123825" cy="1516592"/>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195" name="Text Box 197">
          <a:extLst>
            <a:ext uri="{FF2B5EF4-FFF2-40B4-BE49-F238E27FC236}">
              <a16:creationId xmlns:a16="http://schemas.microsoft.com/office/drawing/2014/main" id="{00000000-0008-0000-0F00-0000AB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196" name="Text Box 198">
          <a:extLst>
            <a:ext uri="{FF2B5EF4-FFF2-40B4-BE49-F238E27FC236}">
              <a16:creationId xmlns:a16="http://schemas.microsoft.com/office/drawing/2014/main" id="{00000000-0008-0000-0F00-0000AC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197" name="Text Box 199">
          <a:extLst>
            <a:ext uri="{FF2B5EF4-FFF2-40B4-BE49-F238E27FC236}">
              <a16:creationId xmlns:a16="http://schemas.microsoft.com/office/drawing/2014/main" id="{00000000-0008-0000-0F00-0000AD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198" name="Text Box 200">
          <a:extLst>
            <a:ext uri="{FF2B5EF4-FFF2-40B4-BE49-F238E27FC236}">
              <a16:creationId xmlns:a16="http://schemas.microsoft.com/office/drawing/2014/main" id="{00000000-0008-0000-0F00-0000AE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199" name="Text Box 201">
          <a:extLst>
            <a:ext uri="{FF2B5EF4-FFF2-40B4-BE49-F238E27FC236}">
              <a16:creationId xmlns:a16="http://schemas.microsoft.com/office/drawing/2014/main" id="{00000000-0008-0000-0F00-0000AF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00" name="Text Box 202">
          <a:extLst>
            <a:ext uri="{FF2B5EF4-FFF2-40B4-BE49-F238E27FC236}">
              <a16:creationId xmlns:a16="http://schemas.microsoft.com/office/drawing/2014/main" id="{00000000-0008-0000-0F00-0000B0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01" name="Text Box 203">
          <a:extLst>
            <a:ext uri="{FF2B5EF4-FFF2-40B4-BE49-F238E27FC236}">
              <a16:creationId xmlns:a16="http://schemas.microsoft.com/office/drawing/2014/main" id="{00000000-0008-0000-0F00-0000B1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02" name="Text Box 204">
          <a:extLst>
            <a:ext uri="{FF2B5EF4-FFF2-40B4-BE49-F238E27FC236}">
              <a16:creationId xmlns:a16="http://schemas.microsoft.com/office/drawing/2014/main" id="{00000000-0008-0000-0F00-0000B2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14300" cy="945696"/>
    <xdr:sp macro="" textlink="">
      <xdr:nvSpPr>
        <xdr:cNvPr id="1203" name="Text Box 205">
          <a:extLst>
            <a:ext uri="{FF2B5EF4-FFF2-40B4-BE49-F238E27FC236}">
              <a16:creationId xmlns:a16="http://schemas.microsoft.com/office/drawing/2014/main" id="{00000000-0008-0000-0F00-0000B304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13</xdr:row>
      <xdr:rowOff>0</xdr:rowOff>
    </xdr:from>
    <xdr:ext cx="114300" cy="945696"/>
    <xdr:sp macro="" textlink="">
      <xdr:nvSpPr>
        <xdr:cNvPr id="1204" name="Text Box 206">
          <a:extLst>
            <a:ext uri="{FF2B5EF4-FFF2-40B4-BE49-F238E27FC236}">
              <a16:creationId xmlns:a16="http://schemas.microsoft.com/office/drawing/2014/main" id="{00000000-0008-0000-0F00-0000B404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13</xdr:row>
      <xdr:rowOff>0</xdr:rowOff>
    </xdr:from>
    <xdr:ext cx="123825" cy="945696"/>
    <xdr:sp macro="" textlink="">
      <xdr:nvSpPr>
        <xdr:cNvPr id="1205" name="Text Box 207">
          <a:extLst>
            <a:ext uri="{FF2B5EF4-FFF2-40B4-BE49-F238E27FC236}">
              <a16:creationId xmlns:a16="http://schemas.microsoft.com/office/drawing/2014/main" id="{00000000-0008-0000-0F00-0000B504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13</xdr:row>
      <xdr:rowOff>0</xdr:rowOff>
    </xdr:from>
    <xdr:ext cx="123825" cy="945696"/>
    <xdr:sp macro="" textlink="">
      <xdr:nvSpPr>
        <xdr:cNvPr id="1206" name="Text Box 208">
          <a:extLst>
            <a:ext uri="{FF2B5EF4-FFF2-40B4-BE49-F238E27FC236}">
              <a16:creationId xmlns:a16="http://schemas.microsoft.com/office/drawing/2014/main" id="{00000000-0008-0000-0F00-0000B604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13</xdr:row>
      <xdr:rowOff>0</xdr:rowOff>
    </xdr:from>
    <xdr:ext cx="123825" cy="945696"/>
    <xdr:sp macro="" textlink="">
      <xdr:nvSpPr>
        <xdr:cNvPr id="1207" name="Text Box 209">
          <a:extLst>
            <a:ext uri="{FF2B5EF4-FFF2-40B4-BE49-F238E27FC236}">
              <a16:creationId xmlns:a16="http://schemas.microsoft.com/office/drawing/2014/main" id="{00000000-0008-0000-0F00-0000B704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13</xdr:row>
      <xdr:rowOff>0</xdr:rowOff>
    </xdr:from>
    <xdr:ext cx="123825" cy="945696"/>
    <xdr:sp macro="" textlink="">
      <xdr:nvSpPr>
        <xdr:cNvPr id="1208" name="Text Box 210">
          <a:extLst>
            <a:ext uri="{FF2B5EF4-FFF2-40B4-BE49-F238E27FC236}">
              <a16:creationId xmlns:a16="http://schemas.microsoft.com/office/drawing/2014/main" id="{00000000-0008-0000-0F00-0000B804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09" name="Text Box 211">
          <a:extLst>
            <a:ext uri="{FF2B5EF4-FFF2-40B4-BE49-F238E27FC236}">
              <a16:creationId xmlns:a16="http://schemas.microsoft.com/office/drawing/2014/main" id="{00000000-0008-0000-0F00-0000B9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10" name="Text Box 212">
          <a:extLst>
            <a:ext uri="{FF2B5EF4-FFF2-40B4-BE49-F238E27FC236}">
              <a16:creationId xmlns:a16="http://schemas.microsoft.com/office/drawing/2014/main" id="{00000000-0008-0000-0F00-0000BA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11" name="Text Box 213">
          <a:extLst>
            <a:ext uri="{FF2B5EF4-FFF2-40B4-BE49-F238E27FC236}">
              <a16:creationId xmlns:a16="http://schemas.microsoft.com/office/drawing/2014/main" id="{00000000-0008-0000-0F00-0000BB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12" name="Text Box 214">
          <a:extLst>
            <a:ext uri="{FF2B5EF4-FFF2-40B4-BE49-F238E27FC236}">
              <a16:creationId xmlns:a16="http://schemas.microsoft.com/office/drawing/2014/main" id="{00000000-0008-0000-0F00-0000BC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13" name="Text Box 197">
          <a:extLst>
            <a:ext uri="{FF2B5EF4-FFF2-40B4-BE49-F238E27FC236}">
              <a16:creationId xmlns:a16="http://schemas.microsoft.com/office/drawing/2014/main" id="{00000000-0008-0000-0F00-0000BD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14" name="Text Box 198">
          <a:extLst>
            <a:ext uri="{FF2B5EF4-FFF2-40B4-BE49-F238E27FC236}">
              <a16:creationId xmlns:a16="http://schemas.microsoft.com/office/drawing/2014/main" id="{00000000-0008-0000-0F00-0000BE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15" name="Text Box 199">
          <a:extLst>
            <a:ext uri="{FF2B5EF4-FFF2-40B4-BE49-F238E27FC236}">
              <a16:creationId xmlns:a16="http://schemas.microsoft.com/office/drawing/2014/main" id="{00000000-0008-0000-0F00-0000BF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16" name="Text Box 200">
          <a:extLst>
            <a:ext uri="{FF2B5EF4-FFF2-40B4-BE49-F238E27FC236}">
              <a16:creationId xmlns:a16="http://schemas.microsoft.com/office/drawing/2014/main" id="{00000000-0008-0000-0F00-0000C0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17" name="Text Box 201">
          <a:extLst>
            <a:ext uri="{FF2B5EF4-FFF2-40B4-BE49-F238E27FC236}">
              <a16:creationId xmlns:a16="http://schemas.microsoft.com/office/drawing/2014/main" id="{00000000-0008-0000-0F00-0000C1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18" name="Text Box 202">
          <a:extLst>
            <a:ext uri="{FF2B5EF4-FFF2-40B4-BE49-F238E27FC236}">
              <a16:creationId xmlns:a16="http://schemas.microsoft.com/office/drawing/2014/main" id="{00000000-0008-0000-0F00-0000C2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19" name="Text Box 203">
          <a:extLst>
            <a:ext uri="{FF2B5EF4-FFF2-40B4-BE49-F238E27FC236}">
              <a16:creationId xmlns:a16="http://schemas.microsoft.com/office/drawing/2014/main" id="{00000000-0008-0000-0F00-0000C3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20" name="Text Box 204">
          <a:extLst>
            <a:ext uri="{FF2B5EF4-FFF2-40B4-BE49-F238E27FC236}">
              <a16:creationId xmlns:a16="http://schemas.microsoft.com/office/drawing/2014/main" id="{00000000-0008-0000-0F00-0000C4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14300" cy="945696"/>
    <xdr:sp macro="" textlink="">
      <xdr:nvSpPr>
        <xdr:cNvPr id="1221" name="Text Box 205">
          <a:extLst>
            <a:ext uri="{FF2B5EF4-FFF2-40B4-BE49-F238E27FC236}">
              <a16:creationId xmlns:a16="http://schemas.microsoft.com/office/drawing/2014/main" id="{00000000-0008-0000-0F00-0000C504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13</xdr:row>
      <xdr:rowOff>0</xdr:rowOff>
    </xdr:from>
    <xdr:ext cx="114300" cy="945696"/>
    <xdr:sp macro="" textlink="">
      <xdr:nvSpPr>
        <xdr:cNvPr id="1222" name="Text Box 206">
          <a:extLst>
            <a:ext uri="{FF2B5EF4-FFF2-40B4-BE49-F238E27FC236}">
              <a16:creationId xmlns:a16="http://schemas.microsoft.com/office/drawing/2014/main" id="{00000000-0008-0000-0F00-0000C604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13</xdr:row>
      <xdr:rowOff>0</xdr:rowOff>
    </xdr:from>
    <xdr:ext cx="123825" cy="945696"/>
    <xdr:sp macro="" textlink="">
      <xdr:nvSpPr>
        <xdr:cNvPr id="1223" name="Text Box 207">
          <a:extLst>
            <a:ext uri="{FF2B5EF4-FFF2-40B4-BE49-F238E27FC236}">
              <a16:creationId xmlns:a16="http://schemas.microsoft.com/office/drawing/2014/main" id="{00000000-0008-0000-0F00-0000C704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13</xdr:row>
      <xdr:rowOff>0</xdr:rowOff>
    </xdr:from>
    <xdr:ext cx="123825" cy="945696"/>
    <xdr:sp macro="" textlink="">
      <xdr:nvSpPr>
        <xdr:cNvPr id="1224" name="Text Box 208">
          <a:extLst>
            <a:ext uri="{FF2B5EF4-FFF2-40B4-BE49-F238E27FC236}">
              <a16:creationId xmlns:a16="http://schemas.microsoft.com/office/drawing/2014/main" id="{00000000-0008-0000-0F00-0000C804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13</xdr:row>
      <xdr:rowOff>0</xdr:rowOff>
    </xdr:from>
    <xdr:ext cx="123825" cy="945696"/>
    <xdr:sp macro="" textlink="">
      <xdr:nvSpPr>
        <xdr:cNvPr id="1225" name="Text Box 209">
          <a:extLst>
            <a:ext uri="{FF2B5EF4-FFF2-40B4-BE49-F238E27FC236}">
              <a16:creationId xmlns:a16="http://schemas.microsoft.com/office/drawing/2014/main" id="{00000000-0008-0000-0F00-0000C904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13</xdr:row>
      <xdr:rowOff>0</xdr:rowOff>
    </xdr:from>
    <xdr:ext cx="123825" cy="945696"/>
    <xdr:sp macro="" textlink="">
      <xdr:nvSpPr>
        <xdr:cNvPr id="1226" name="Text Box 210">
          <a:extLst>
            <a:ext uri="{FF2B5EF4-FFF2-40B4-BE49-F238E27FC236}">
              <a16:creationId xmlns:a16="http://schemas.microsoft.com/office/drawing/2014/main" id="{00000000-0008-0000-0F00-0000CA04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27" name="Text Box 211">
          <a:extLst>
            <a:ext uri="{FF2B5EF4-FFF2-40B4-BE49-F238E27FC236}">
              <a16:creationId xmlns:a16="http://schemas.microsoft.com/office/drawing/2014/main" id="{00000000-0008-0000-0F00-0000CB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28" name="Text Box 212">
          <a:extLst>
            <a:ext uri="{FF2B5EF4-FFF2-40B4-BE49-F238E27FC236}">
              <a16:creationId xmlns:a16="http://schemas.microsoft.com/office/drawing/2014/main" id="{00000000-0008-0000-0F00-0000CC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29" name="Text Box 213">
          <a:extLst>
            <a:ext uri="{FF2B5EF4-FFF2-40B4-BE49-F238E27FC236}">
              <a16:creationId xmlns:a16="http://schemas.microsoft.com/office/drawing/2014/main" id="{00000000-0008-0000-0F00-0000CD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13</xdr:row>
      <xdr:rowOff>0</xdr:rowOff>
    </xdr:from>
    <xdr:ext cx="123825" cy="831396"/>
    <xdr:sp macro="" textlink="">
      <xdr:nvSpPr>
        <xdr:cNvPr id="1230" name="Text Box 214">
          <a:extLst>
            <a:ext uri="{FF2B5EF4-FFF2-40B4-BE49-F238E27FC236}">
              <a16:creationId xmlns:a16="http://schemas.microsoft.com/office/drawing/2014/main" id="{00000000-0008-0000-0F00-0000CE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17</xdr:row>
      <xdr:rowOff>0</xdr:rowOff>
    </xdr:from>
    <xdr:ext cx="123825" cy="938741"/>
    <xdr:sp macro="" textlink="">
      <xdr:nvSpPr>
        <xdr:cNvPr id="1231" name="Text Box 197">
          <a:extLst>
            <a:ext uri="{FF2B5EF4-FFF2-40B4-BE49-F238E27FC236}">
              <a16:creationId xmlns:a16="http://schemas.microsoft.com/office/drawing/2014/main" id="{00000000-0008-0000-0F00-0000CF04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17</xdr:row>
      <xdr:rowOff>0</xdr:rowOff>
    </xdr:from>
    <xdr:ext cx="123825" cy="938741"/>
    <xdr:sp macro="" textlink="">
      <xdr:nvSpPr>
        <xdr:cNvPr id="1232" name="Text Box 198">
          <a:extLst>
            <a:ext uri="{FF2B5EF4-FFF2-40B4-BE49-F238E27FC236}">
              <a16:creationId xmlns:a16="http://schemas.microsoft.com/office/drawing/2014/main" id="{00000000-0008-0000-0F00-0000D004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17</xdr:row>
      <xdr:rowOff>0</xdr:rowOff>
    </xdr:from>
    <xdr:ext cx="123825" cy="938741"/>
    <xdr:sp macro="" textlink="">
      <xdr:nvSpPr>
        <xdr:cNvPr id="1233" name="Text Box 199">
          <a:extLst>
            <a:ext uri="{FF2B5EF4-FFF2-40B4-BE49-F238E27FC236}">
              <a16:creationId xmlns:a16="http://schemas.microsoft.com/office/drawing/2014/main" id="{00000000-0008-0000-0F00-0000D104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17</xdr:row>
      <xdr:rowOff>0</xdr:rowOff>
    </xdr:from>
    <xdr:ext cx="123825" cy="938741"/>
    <xdr:sp macro="" textlink="">
      <xdr:nvSpPr>
        <xdr:cNvPr id="1234" name="Text Box 200">
          <a:extLst>
            <a:ext uri="{FF2B5EF4-FFF2-40B4-BE49-F238E27FC236}">
              <a16:creationId xmlns:a16="http://schemas.microsoft.com/office/drawing/2014/main" id="{00000000-0008-0000-0F00-0000D204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17</xdr:row>
      <xdr:rowOff>0</xdr:rowOff>
    </xdr:from>
    <xdr:ext cx="123825" cy="938741"/>
    <xdr:sp macro="" textlink="">
      <xdr:nvSpPr>
        <xdr:cNvPr id="1235" name="Text Box 201">
          <a:extLst>
            <a:ext uri="{FF2B5EF4-FFF2-40B4-BE49-F238E27FC236}">
              <a16:creationId xmlns:a16="http://schemas.microsoft.com/office/drawing/2014/main" id="{00000000-0008-0000-0F00-0000D304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17</xdr:row>
      <xdr:rowOff>0</xdr:rowOff>
    </xdr:from>
    <xdr:ext cx="123825" cy="938741"/>
    <xdr:sp macro="" textlink="">
      <xdr:nvSpPr>
        <xdr:cNvPr id="1236" name="Text Box 202">
          <a:extLst>
            <a:ext uri="{FF2B5EF4-FFF2-40B4-BE49-F238E27FC236}">
              <a16:creationId xmlns:a16="http://schemas.microsoft.com/office/drawing/2014/main" id="{00000000-0008-0000-0F00-0000D404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17</xdr:row>
      <xdr:rowOff>0</xdr:rowOff>
    </xdr:from>
    <xdr:ext cx="123825" cy="938741"/>
    <xdr:sp macro="" textlink="">
      <xdr:nvSpPr>
        <xdr:cNvPr id="1237" name="Text Box 203">
          <a:extLst>
            <a:ext uri="{FF2B5EF4-FFF2-40B4-BE49-F238E27FC236}">
              <a16:creationId xmlns:a16="http://schemas.microsoft.com/office/drawing/2014/main" id="{00000000-0008-0000-0F00-0000D504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17</xdr:row>
      <xdr:rowOff>0</xdr:rowOff>
    </xdr:from>
    <xdr:ext cx="123825" cy="938741"/>
    <xdr:sp macro="" textlink="">
      <xdr:nvSpPr>
        <xdr:cNvPr id="1238" name="Text Box 204">
          <a:extLst>
            <a:ext uri="{FF2B5EF4-FFF2-40B4-BE49-F238E27FC236}">
              <a16:creationId xmlns:a16="http://schemas.microsoft.com/office/drawing/2014/main" id="{00000000-0008-0000-0F00-0000D604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17</xdr:row>
      <xdr:rowOff>0</xdr:rowOff>
    </xdr:from>
    <xdr:ext cx="114300" cy="1053041"/>
    <xdr:sp macro="" textlink="">
      <xdr:nvSpPr>
        <xdr:cNvPr id="1239" name="Text Box 205">
          <a:extLst>
            <a:ext uri="{FF2B5EF4-FFF2-40B4-BE49-F238E27FC236}">
              <a16:creationId xmlns:a16="http://schemas.microsoft.com/office/drawing/2014/main" id="{00000000-0008-0000-0F00-0000D7040000}"/>
            </a:ext>
          </a:extLst>
        </xdr:cNvPr>
        <xdr:cNvSpPr txBox="1">
          <a:spLocks noChangeArrowheads="1"/>
        </xdr:cNvSpPr>
      </xdr:nvSpPr>
      <xdr:spPr bwMode="auto">
        <a:xfrm>
          <a:off x="3100917" y="4921250"/>
          <a:ext cx="114300" cy="1053041"/>
        </a:xfrm>
        <a:prstGeom prst="rect">
          <a:avLst/>
        </a:prstGeom>
        <a:noFill/>
        <a:ln w="9525">
          <a:noFill/>
          <a:miter lim="800000"/>
          <a:headEnd/>
          <a:tailEnd/>
        </a:ln>
      </xdr:spPr>
    </xdr:sp>
    <xdr:clientData/>
  </xdr:oneCellAnchor>
  <xdr:oneCellAnchor>
    <xdr:from>
      <xdr:col>4</xdr:col>
      <xdr:colOff>0</xdr:colOff>
      <xdr:row>17</xdr:row>
      <xdr:rowOff>0</xdr:rowOff>
    </xdr:from>
    <xdr:ext cx="114300" cy="1053041"/>
    <xdr:sp macro="" textlink="">
      <xdr:nvSpPr>
        <xdr:cNvPr id="1240" name="Text Box 206">
          <a:extLst>
            <a:ext uri="{FF2B5EF4-FFF2-40B4-BE49-F238E27FC236}">
              <a16:creationId xmlns:a16="http://schemas.microsoft.com/office/drawing/2014/main" id="{00000000-0008-0000-0F00-0000D8040000}"/>
            </a:ext>
          </a:extLst>
        </xdr:cNvPr>
        <xdr:cNvSpPr txBox="1">
          <a:spLocks noChangeArrowheads="1"/>
        </xdr:cNvSpPr>
      </xdr:nvSpPr>
      <xdr:spPr bwMode="auto">
        <a:xfrm>
          <a:off x="3100917" y="4921250"/>
          <a:ext cx="114300" cy="1053041"/>
        </a:xfrm>
        <a:prstGeom prst="rect">
          <a:avLst/>
        </a:prstGeom>
        <a:noFill/>
        <a:ln w="9525">
          <a:noFill/>
          <a:miter lim="800000"/>
          <a:headEnd/>
          <a:tailEnd/>
        </a:ln>
      </xdr:spPr>
    </xdr:sp>
    <xdr:clientData/>
  </xdr:oneCellAnchor>
  <xdr:oneCellAnchor>
    <xdr:from>
      <xdr:col>4</xdr:col>
      <xdr:colOff>0</xdr:colOff>
      <xdr:row>17</xdr:row>
      <xdr:rowOff>0</xdr:rowOff>
    </xdr:from>
    <xdr:ext cx="123825" cy="1053041"/>
    <xdr:sp macro="" textlink="">
      <xdr:nvSpPr>
        <xdr:cNvPr id="1241" name="Text Box 207">
          <a:extLst>
            <a:ext uri="{FF2B5EF4-FFF2-40B4-BE49-F238E27FC236}">
              <a16:creationId xmlns:a16="http://schemas.microsoft.com/office/drawing/2014/main" id="{00000000-0008-0000-0F00-0000D904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17</xdr:row>
      <xdr:rowOff>0</xdr:rowOff>
    </xdr:from>
    <xdr:ext cx="123825" cy="1053041"/>
    <xdr:sp macro="" textlink="">
      <xdr:nvSpPr>
        <xdr:cNvPr id="1242" name="Text Box 208">
          <a:extLst>
            <a:ext uri="{FF2B5EF4-FFF2-40B4-BE49-F238E27FC236}">
              <a16:creationId xmlns:a16="http://schemas.microsoft.com/office/drawing/2014/main" id="{00000000-0008-0000-0F00-0000DA04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17</xdr:row>
      <xdr:rowOff>0</xdr:rowOff>
    </xdr:from>
    <xdr:ext cx="123825" cy="1053041"/>
    <xdr:sp macro="" textlink="">
      <xdr:nvSpPr>
        <xdr:cNvPr id="1243" name="Text Box 209">
          <a:extLst>
            <a:ext uri="{FF2B5EF4-FFF2-40B4-BE49-F238E27FC236}">
              <a16:creationId xmlns:a16="http://schemas.microsoft.com/office/drawing/2014/main" id="{00000000-0008-0000-0F00-0000DB04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17</xdr:row>
      <xdr:rowOff>0</xdr:rowOff>
    </xdr:from>
    <xdr:ext cx="123825" cy="1053041"/>
    <xdr:sp macro="" textlink="">
      <xdr:nvSpPr>
        <xdr:cNvPr id="1244" name="Text Box 210">
          <a:extLst>
            <a:ext uri="{FF2B5EF4-FFF2-40B4-BE49-F238E27FC236}">
              <a16:creationId xmlns:a16="http://schemas.microsoft.com/office/drawing/2014/main" id="{00000000-0008-0000-0F00-0000DC04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17</xdr:row>
      <xdr:rowOff>0</xdr:rowOff>
    </xdr:from>
    <xdr:ext cx="123825" cy="938741"/>
    <xdr:sp macro="" textlink="">
      <xdr:nvSpPr>
        <xdr:cNvPr id="1245" name="Text Box 211">
          <a:extLst>
            <a:ext uri="{FF2B5EF4-FFF2-40B4-BE49-F238E27FC236}">
              <a16:creationId xmlns:a16="http://schemas.microsoft.com/office/drawing/2014/main" id="{00000000-0008-0000-0F00-0000DD04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17</xdr:row>
      <xdr:rowOff>0</xdr:rowOff>
    </xdr:from>
    <xdr:ext cx="123825" cy="938741"/>
    <xdr:sp macro="" textlink="">
      <xdr:nvSpPr>
        <xdr:cNvPr id="1246" name="Text Box 212">
          <a:extLst>
            <a:ext uri="{FF2B5EF4-FFF2-40B4-BE49-F238E27FC236}">
              <a16:creationId xmlns:a16="http://schemas.microsoft.com/office/drawing/2014/main" id="{00000000-0008-0000-0F00-0000DE04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17</xdr:row>
      <xdr:rowOff>0</xdr:rowOff>
    </xdr:from>
    <xdr:ext cx="123825" cy="938741"/>
    <xdr:sp macro="" textlink="">
      <xdr:nvSpPr>
        <xdr:cNvPr id="1247" name="Text Box 213">
          <a:extLst>
            <a:ext uri="{FF2B5EF4-FFF2-40B4-BE49-F238E27FC236}">
              <a16:creationId xmlns:a16="http://schemas.microsoft.com/office/drawing/2014/main" id="{00000000-0008-0000-0F00-0000DF04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17</xdr:row>
      <xdr:rowOff>0</xdr:rowOff>
    </xdr:from>
    <xdr:ext cx="123825" cy="938741"/>
    <xdr:sp macro="" textlink="">
      <xdr:nvSpPr>
        <xdr:cNvPr id="1248" name="Text Box 214">
          <a:extLst>
            <a:ext uri="{FF2B5EF4-FFF2-40B4-BE49-F238E27FC236}">
              <a16:creationId xmlns:a16="http://schemas.microsoft.com/office/drawing/2014/main" id="{00000000-0008-0000-0F00-0000E004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49" name="Text Box 197">
          <a:extLst>
            <a:ext uri="{FF2B5EF4-FFF2-40B4-BE49-F238E27FC236}">
              <a16:creationId xmlns:a16="http://schemas.microsoft.com/office/drawing/2014/main" id="{00000000-0008-0000-0F00-0000E1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50" name="Text Box 198">
          <a:extLst>
            <a:ext uri="{FF2B5EF4-FFF2-40B4-BE49-F238E27FC236}">
              <a16:creationId xmlns:a16="http://schemas.microsoft.com/office/drawing/2014/main" id="{00000000-0008-0000-0F00-0000E2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51" name="Text Box 199">
          <a:extLst>
            <a:ext uri="{FF2B5EF4-FFF2-40B4-BE49-F238E27FC236}">
              <a16:creationId xmlns:a16="http://schemas.microsoft.com/office/drawing/2014/main" id="{00000000-0008-0000-0F00-0000E3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52" name="Text Box 200">
          <a:extLst>
            <a:ext uri="{FF2B5EF4-FFF2-40B4-BE49-F238E27FC236}">
              <a16:creationId xmlns:a16="http://schemas.microsoft.com/office/drawing/2014/main" id="{00000000-0008-0000-0F00-0000E4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53" name="Text Box 201">
          <a:extLst>
            <a:ext uri="{FF2B5EF4-FFF2-40B4-BE49-F238E27FC236}">
              <a16:creationId xmlns:a16="http://schemas.microsoft.com/office/drawing/2014/main" id="{00000000-0008-0000-0F00-0000E5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54" name="Text Box 202">
          <a:extLst>
            <a:ext uri="{FF2B5EF4-FFF2-40B4-BE49-F238E27FC236}">
              <a16:creationId xmlns:a16="http://schemas.microsoft.com/office/drawing/2014/main" id="{00000000-0008-0000-0F00-0000E6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55" name="Text Box 203">
          <a:extLst>
            <a:ext uri="{FF2B5EF4-FFF2-40B4-BE49-F238E27FC236}">
              <a16:creationId xmlns:a16="http://schemas.microsoft.com/office/drawing/2014/main" id="{00000000-0008-0000-0F00-0000E7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56" name="Text Box 204">
          <a:extLst>
            <a:ext uri="{FF2B5EF4-FFF2-40B4-BE49-F238E27FC236}">
              <a16:creationId xmlns:a16="http://schemas.microsoft.com/office/drawing/2014/main" id="{00000000-0008-0000-0F00-0000E8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14300" cy="945696"/>
    <xdr:sp macro="" textlink="">
      <xdr:nvSpPr>
        <xdr:cNvPr id="1257" name="Text Box 205">
          <a:extLst>
            <a:ext uri="{FF2B5EF4-FFF2-40B4-BE49-F238E27FC236}">
              <a16:creationId xmlns:a16="http://schemas.microsoft.com/office/drawing/2014/main" id="{00000000-0008-0000-0F00-0000E904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18</xdr:row>
      <xdr:rowOff>0</xdr:rowOff>
    </xdr:from>
    <xdr:ext cx="114300" cy="945696"/>
    <xdr:sp macro="" textlink="">
      <xdr:nvSpPr>
        <xdr:cNvPr id="1258" name="Text Box 206">
          <a:extLst>
            <a:ext uri="{FF2B5EF4-FFF2-40B4-BE49-F238E27FC236}">
              <a16:creationId xmlns:a16="http://schemas.microsoft.com/office/drawing/2014/main" id="{00000000-0008-0000-0F00-0000EA04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18</xdr:row>
      <xdr:rowOff>0</xdr:rowOff>
    </xdr:from>
    <xdr:ext cx="123825" cy="945696"/>
    <xdr:sp macro="" textlink="">
      <xdr:nvSpPr>
        <xdr:cNvPr id="1259" name="Text Box 207">
          <a:extLst>
            <a:ext uri="{FF2B5EF4-FFF2-40B4-BE49-F238E27FC236}">
              <a16:creationId xmlns:a16="http://schemas.microsoft.com/office/drawing/2014/main" id="{00000000-0008-0000-0F00-0000EB04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18</xdr:row>
      <xdr:rowOff>0</xdr:rowOff>
    </xdr:from>
    <xdr:ext cx="123825" cy="945696"/>
    <xdr:sp macro="" textlink="">
      <xdr:nvSpPr>
        <xdr:cNvPr id="1260" name="Text Box 208">
          <a:extLst>
            <a:ext uri="{FF2B5EF4-FFF2-40B4-BE49-F238E27FC236}">
              <a16:creationId xmlns:a16="http://schemas.microsoft.com/office/drawing/2014/main" id="{00000000-0008-0000-0F00-0000EC04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18</xdr:row>
      <xdr:rowOff>0</xdr:rowOff>
    </xdr:from>
    <xdr:ext cx="123825" cy="945696"/>
    <xdr:sp macro="" textlink="">
      <xdr:nvSpPr>
        <xdr:cNvPr id="1261" name="Text Box 209">
          <a:extLst>
            <a:ext uri="{FF2B5EF4-FFF2-40B4-BE49-F238E27FC236}">
              <a16:creationId xmlns:a16="http://schemas.microsoft.com/office/drawing/2014/main" id="{00000000-0008-0000-0F00-0000ED04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18</xdr:row>
      <xdr:rowOff>0</xdr:rowOff>
    </xdr:from>
    <xdr:ext cx="123825" cy="945696"/>
    <xdr:sp macro="" textlink="">
      <xdr:nvSpPr>
        <xdr:cNvPr id="1262" name="Text Box 210">
          <a:extLst>
            <a:ext uri="{FF2B5EF4-FFF2-40B4-BE49-F238E27FC236}">
              <a16:creationId xmlns:a16="http://schemas.microsoft.com/office/drawing/2014/main" id="{00000000-0008-0000-0F00-0000EE04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63" name="Text Box 211">
          <a:extLst>
            <a:ext uri="{FF2B5EF4-FFF2-40B4-BE49-F238E27FC236}">
              <a16:creationId xmlns:a16="http://schemas.microsoft.com/office/drawing/2014/main" id="{00000000-0008-0000-0F00-0000EF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64" name="Text Box 212">
          <a:extLst>
            <a:ext uri="{FF2B5EF4-FFF2-40B4-BE49-F238E27FC236}">
              <a16:creationId xmlns:a16="http://schemas.microsoft.com/office/drawing/2014/main" id="{00000000-0008-0000-0F00-0000F0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65" name="Text Box 213">
          <a:extLst>
            <a:ext uri="{FF2B5EF4-FFF2-40B4-BE49-F238E27FC236}">
              <a16:creationId xmlns:a16="http://schemas.microsoft.com/office/drawing/2014/main" id="{00000000-0008-0000-0F00-0000F1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66" name="Text Box 214">
          <a:extLst>
            <a:ext uri="{FF2B5EF4-FFF2-40B4-BE49-F238E27FC236}">
              <a16:creationId xmlns:a16="http://schemas.microsoft.com/office/drawing/2014/main" id="{00000000-0008-0000-0F00-0000F204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17</xdr:row>
      <xdr:rowOff>0</xdr:rowOff>
    </xdr:from>
    <xdr:ext cx="123825" cy="934660"/>
    <xdr:sp macro="" textlink="">
      <xdr:nvSpPr>
        <xdr:cNvPr id="1267" name="Text Box 197">
          <a:extLst>
            <a:ext uri="{FF2B5EF4-FFF2-40B4-BE49-F238E27FC236}">
              <a16:creationId xmlns:a16="http://schemas.microsoft.com/office/drawing/2014/main" id="{00000000-0008-0000-0F00-0000F304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17</xdr:row>
      <xdr:rowOff>0</xdr:rowOff>
    </xdr:from>
    <xdr:ext cx="123825" cy="934660"/>
    <xdr:sp macro="" textlink="">
      <xdr:nvSpPr>
        <xdr:cNvPr id="1268" name="Text Box 198">
          <a:extLst>
            <a:ext uri="{FF2B5EF4-FFF2-40B4-BE49-F238E27FC236}">
              <a16:creationId xmlns:a16="http://schemas.microsoft.com/office/drawing/2014/main" id="{00000000-0008-0000-0F00-0000F404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17</xdr:row>
      <xdr:rowOff>0</xdr:rowOff>
    </xdr:from>
    <xdr:ext cx="123825" cy="934660"/>
    <xdr:sp macro="" textlink="">
      <xdr:nvSpPr>
        <xdr:cNvPr id="1269" name="Text Box 199">
          <a:extLst>
            <a:ext uri="{FF2B5EF4-FFF2-40B4-BE49-F238E27FC236}">
              <a16:creationId xmlns:a16="http://schemas.microsoft.com/office/drawing/2014/main" id="{00000000-0008-0000-0F00-0000F504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17</xdr:row>
      <xdr:rowOff>0</xdr:rowOff>
    </xdr:from>
    <xdr:ext cx="123825" cy="934660"/>
    <xdr:sp macro="" textlink="">
      <xdr:nvSpPr>
        <xdr:cNvPr id="1270" name="Text Box 200">
          <a:extLst>
            <a:ext uri="{FF2B5EF4-FFF2-40B4-BE49-F238E27FC236}">
              <a16:creationId xmlns:a16="http://schemas.microsoft.com/office/drawing/2014/main" id="{00000000-0008-0000-0F00-0000F604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17</xdr:row>
      <xdr:rowOff>0</xdr:rowOff>
    </xdr:from>
    <xdr:ext cx="123825" cy="934660"/>
    <xdr:sp macro="" textlink="">
      <xdr:nvSpPr>
        <xdr:cNvPr id="1271" name="Text Box 201">
          <a:extLst>
            <a:ext uri="{FF2B5EF4-FFF2-40B4-BE49-F238E27FC236}">
              <a16:creationId xmlns:a16="http://schemas.microsoft.com/office/drawing/2014/main" id="{00000000-0008-0000-0F00-0000F704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17</xdr:row>
      <xdr:rowOff>0</xdr:rowOff>
    </xdr:from>
    <xdr:ext cx="123825" cy="934660"/>
    <xdr:sp macro="" textlink="">
      <xdr:nvSpPr>
        <xdr:cNvPr id="1272" name="Text Box 202">
          <a:extLst>
            <a:ext uri="{FF2B5EF4-FFF2-40B4-BE49-F238E27FC236}">
              <a16:creationId xmlns:a16="http://schemas.microsoft.com/office/drawing/2014/main" id="{00000000-0008-0000-0F00-0000F804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17</xdr:row>
      <xdr:rowOff>0</xdr:rowOff>
    </xdr:from>
    <xdr:ext cx="123825" cy="934660"/>
    <xdr:sp macro="" textlink="">
      <xdr:nvSpPr>
        <xdr:cNvPr id="1273" name="Text Box 203">
          <a:extLst>
            <a:ext uri="{FF2B5EF4-FFF2-40B4-BE49-F238E27FC236}">
              <a16:creationId xmlns:a16="http://schemas.microsoft.com/office/drawing/2014/main" id="{00000000-0008-0000-0F00-0000F904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17</xdr:row>
      <xdr:rowOff>0</xdr:rowOff>
    </xdr:from>
    <xdr:ext cx="123825" cy="934660"/>
    <xdr:sp macro="" textlink="">
      <xdr:nvSpPr>
        <xdr:cNvPr id="1274" name="Text Box 204">
          <a:extLst>
            <a:ext uri="{FF2B5EF4-FFF2-40B4-BE49-F238E27FC236}">
              <a16:creationId xmlns:a16="http://schemas.microsoft.com/office/drawing/2014/main" id="{00000000-0008-0000-0F00-0000FA04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17</xdr:row>
      <xdr:rowOff>0</xdr:rowOff>
    </xdr:from>
    <xdr:ext cx="114300" cy="1048960"/>
    <xdr:sp macro="" textlink="">
      <xdr:nvSpPr>
        <xdr:cNvPr id="1275" name="Text Box 205">
          <a:extLst>
            <a:ext uri="{FF2B5EF4-FFF2-40B4-BE49-F238E27FC236}">
              <a16:creationId xmlns:a16="http://schemas.microsoft.com/office/drawing/2014/main" id="{00000000-0008-0000-0F00-0000FB040000}"/>
            </a:ext>
          </a:extLst>
        </xdr:cNvPr>
        <xdr:cNvSpPr txBox="1">
          <a:spLocks noChangeArrowheads="1"/>
        </xdr:cNvSpPr>
      </xdr:nvSpPr>
      <xdr:spPr bwMode="auto">
        <a:xfrm>
          <a:off x="3100917" y="4921250"/>
          <a:ext cx="114300" cy="1048960"/>
        </a:xfrm>
        <a:prstGeom prst="rect">
          <a:avLst/>
        </a:prstGeom>
        <a:noFill/>
        <a:ln w="9525">
          <a:noFill/>
          <a:miter lim="800000"/>
          <a:headEnd/>
          <a:tailEnd/>
        </a:ln>
      </xdr:spPr>
    </xdr:sp>
    <xdr:clientData/>
  </xdr:oneCellAnchor>
  <xdr:oneCellAnchor>
    <xdr:from>
      <xdr:col>4</xdr:col>
      <xdr:colOff>0</xdr:colOff>
      <xdr:row>17</xdr:row>
      <xdr:rowOff>0</xdr:rowOff>
    </xdr:from>
    <xdr:ext cx="114300" cy="1048960"/>
    <xdr:sp macro="" textlink="">
      <xdr:nvSpPr>
        <xdr:cNvPr id="1276" name="Text Box 206">
          <a:extLst>
            <a:ext uri="{FF2B5EF4-FFF2-40B4-BE49-F238E27FC236}">
              <a16:creationId xmlns:a16="http://schemas.microsoft.com/office/drawing/2014/main" id="{00000000-0008-0000-0F00-0000FC040000}"/>
            </a:ext>
          </a:extLst>
        </xdr:cNvPr>
        <xdr:cNvSpPr txBox="1">
          <a:spLocks noChangeArrowheads="1"/>
        </xdr:cNvSpPr>
      </xdr:nvSpPr>
      <xdr:spPr bwMode="auto">
        <a:xfrm>
          <a:off x="3100917" y="4921250"/>
          <a:ext cx="114300" cy="1048960"/>
        </a:xfrm>
        <a:prstGeom prst="rect">
          <a:avLst/>
        </a:prstGeom>
        <a:noFill/>
        <a:ln w="9525">
          <a:noFill/>
          <a:miter lim="800000"/>
          <a:headEnd/>
          <a:tailEnd/>
        </a:ln>
      </xdr:spPr>
    </xdr:sp>
    <xdr:clientData/>
  </xdr:oneCellAnchor>
  <xdr:oneCellAnchor>
    <xdr:from>
      <xdr:col>4</xdr:col>
      <xdr:colOff>0</xdr:colOff>
      <xdr:row>17</xdr:row>
      <xdr:rowOff>0</xdr:rowOff>
    </xdr:from>
    <xdr:ext cx="123825" cy="1048960"/>
    <xdr:sp macro="" textlink="">
      <xdr:nvSpPr>
        <xdr:cNvPr id="1277" name="Text Box 207">
          <a:extLst>
            <a:ext uri="{FF2B5EF4-FFF2-40B4-BE49-F238E27FC236}">
              <a16:creationId xmlns:a16="http://schemas.microsoft.com/office/drawing/2014/main" id="{00000000-0008-0000-0F00-0000FD04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17</xdr:row>
      <xdr:rowOff>0</xdr:rowOff>
    </xdr:from>
    <xdr:ext cx="123825" cy="1048960"/>
    <xdr:sp macro="" textlink="">
      <xdr:nvSpPr>
        <xdr:cNvPr id="1278" name="Text Box 208">
          <a:extLst>
            <a:ext uri="{FF2B5EF4-FFF2-40B4-BE49-F238E27FC236}">
              <a16:creationId xmlns:a16="http://schemas.microsoft.com/office/drawing/2014/main" id="{00000000-0008-0000-0F00-0000FE04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17</xdr:row>
      <xdr:rowOff>0</xdr:rowOff>
    </xdr:from>
    <xdr:ext cx="123825" cy="1048960"/>
    <xdr:sp macro="" textlink="">
      <xdr:nvSpPr>
        <xdr:cNvPr id="1279" name="Text Box 209">
          <a:extLst>
            <a:ext uri="{FF2B5EF4-FFF2-40B4-BE49-F238E27FC236}">
              <a16:creationId xmlns:a16="http://schemas.microsoft.com/office/drawing/2014/main" id="{00000000-0008-0000-0F00-0000FF04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17</xdr:row>
      <xdr:rowOff>0</xdr:rowOff>
    </xdr:from>
    <xdr:ext cx="123825" cy="1048960"/>
    <xdr:sp macro="" textlink="">
      <xdr:nvSpPr>
        <xdr:cNvPr id="1280" name="Text Box 210">
          <a:extLst>
            <a:ext uri="{FF2B5EF4-FFF2-40B4-BE49-F238E27FC236}">
              <a16:creationId xmlns:a16="http://schemas.microsoft.com/office/drawing/2014/main" id="{00000000-0008-0000-0F00-00000005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17</xdr:row>
      <xdr:rowOff>0</xdr:rowOff>
    </xdr:from>
    <xdr:ext cx="123825" cy="934660"/>
    <xdr:sp macro="" textlink="">
      <xdr:nvSpPr>
        <xdr:cNvPr id="1281" name="Text Box 211">
          <a:extLst>
            <a:ext uri="{FF2B5EF4-FFF2-40B4-BE49-F238E27FC236}">
              <a16:creationId xmlns:a16="http://schemas.microsoft.com/office/drawing/2014/main" id="{00000000-0008-0000-0F00-000001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17</xdr:row>
      <xdr:rowOff>0</xdr:rowOff>
    </xdr:from>
    <xdr:ext cx="123825" cy="934660"/>
    <xdr:sp macro="" textlink="">
      <xdr:nvSpPr>
        <xdr:cNvPr id="1282" name="Text Box 212">
          <a:extLst>
            <a:ext uri="{FF2B5EF4-FFF2-40B4-BE49-F238E27FC236}">
              <a16:creationId xmlns:a16="http://schemas.microsoft.com/office/drawing/2014/main" id="{00000000-0008-0000-0F00-000002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17</xdr:row>
      <xdr:rowOff>0</xdr:rowOff>
    </xdr:from>
    <xdr:ext cx="123825" cy="934660"/>
    <xdr:sp macro="" textlink="">
      <xdr:nvSpPr>
        <xdr:cNvPr id="1283" name="Text Box 213">
          <a:extLst>
            <a:ext uri="{FF2B5EF4-FFF2-40B4-BE49-F238E27FC236}">
              <a16:creationId xmlns:a16="http://schemas.microsoft.com/office/drawing/2014/main" id="{00000000-0008-0000-0F00-000003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17</xdr:row>
      <xdr:rowOff>0</xdr:rowOff>
    </xdr:from>
    <xdr:ext cx="123825" cy="934660"/>
    <xdr:sp macro="" textlink="">
      <xdr:nvSpPr>
        <xdr:cNvPr id="1284" name="Text Box 214">
          <a:extLst>
            <a:ext uri="{FF2B5EF4-FFF2-40B4-BE49-F238E27FC236}">
              <a16:creationId xmlns:a16="http://schemas.microsoft.com/office/drawing/2014/main" id="{00000000-0008-0000-0F00-000004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85" name="Text Box 197">
          <a:extLst>
            <a:ext uri="{FF2B5EF4-FFF2-40B4-BE49-F238E27FC236}">
              <a16:creationId xmlns:a16="http://schemas.microsoft.com/office/drawing/2014/main" id="{00000000-0008-0000-0F00-000005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86" name="Text Box 198">
          <a:extLst>
            <a:ext uri="{FF2B5EF4-FFF2-40B4-BE49-F238E27FC236}">
              <a16:creationId xmlns:a16="http://schemas.microsoft.com/office/drawing/2014/main" id="{00000000-0008-0000-0F00-000006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87" name="Text Box 199">
          <a:extLst>
            <a:ext uri="{FF2B5EF4-FFF2-40B4-BE49-F238E27FC236}">
              <a16:creationId xmlns:a16="http://schemas.microsoft.com/office/drawing/2014/main" id="{00000000-0008-0000-0F00-000007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88" name="Text Box 200">
          <a:extLst>
            <a:ext uri="{FF2B5EF4-FFF2-40B4-BE49-F238E27FC236}">
              <a16:creationId xmlns:a16="http://schemas.microsoft.com/office/drawing/2014/main" id="{00000000-0008-0000-0F00-000008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89" name="Text Box 201">
          <a:extLst>
            <a:ext uri="{FF2B5EF4-FFF2-40B4-BE49-F238E27FC236}">
              <a16:creationId xmlns:a16="http://schemas.microsoft.com/office/drawing/2014/main" id="{00000000-0008-0000-0F00-000009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90" name="Text Box 202">
          <a:extLst>
            <a:ext uri="{FF2B5EF4-FFF2-40B4-BE49-F238E27FC236}">
              <a16:creationId xmlns:a16="http://schemas.microsoft.com/office/drawing/2014/main" id="{00000000-0008-0000-0F00-00000A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91" name="Text Box 203">
          <a:extLst>
            <a:ext uri="{FF2B5EF4-FFF2-40B4-BE49-F238E27FC236}">
              <a16:creationId xmlns:a16="http://schemas.microsoft.com/office/drawing/2014/main" id="{00000000-0008-0000-0F00-00000B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92" name="Text Box 204">
          <a:extLst>
            <a:ext uri="{FF2B5EF4-FFF2-40B4-BE49-F238E27FC236}">
              <a16:creationId xmlns:a16="http://schemas.microsoft.com/office/drawing/2014/main" id="{00000000-0008-0000-0F00-00000C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14300" cy="945696"/>
    <xdr:sp macro="" textlink="">
      <xdr:nvSpPr>
        <xdr:cNvPr id="1293" name="Text Box 205">
          <a:extLst>
            <a:ext uri="{FF2B5EF4-FFF2-40B4-BE49-F238E27FC236}">
              <a16:creationId xmlns:a16="http://schemas.microsoft.com/office/drawing/2014/main" id="{00000000-0008-0000-0F00-00000D05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18</xdr:row>
      <xdr:rowOff>0</xdr:rowOff>
    </xdr:from>
    <xdr:ext cx="114300" cy="945696"/>
    <xdr:sp macro="" textlink="">
      <xdr:nvSpPr>
        <xdr:cNvPr id="1294" name="Text Box 206">
          <a:extLst>
            <a:ext uri="{FF2B5EF4-FFF2-40B4-BE49-F238E27FC236}">
              <a16:creationId xmlns:a16="http://schemas.microsoft.com/office/drawing/2014/main" id="{00000000-0008-0000-0F00-00000E05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18</xdr:row>
      <xdr:rowOff>0</xdr:rowOff>
    </xdr:from>
    <xdr:ext cx="123825" cy="945696"/>
    <xdr:sp macro="" textlink="">
      <xdr:nvSpPr>
        <xdr:cNvPr id="1295" name="Text Box 207">
          <a:extLst>
            <a:ext uri="{FF2B5EF4-FFF2-40B4-BE49-F238E27FC236}">
              <a16:creationId xmlns:a16="http://schemas.microsoft.com/office/drawing/2014/main" id="{00000000-0008-0000-0F00-00000F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18</xdr:row>
      <xdr:rowOff>0</xdr:rowOff>
    </xdr:from>
    <xdr:ext cx="123825" cy="945696"/>
    <xdr:sp macro="" textlink="">
      <xdr:nvSpPr>
        <xdr:cNvPr id="1296" name="Text Box 208">
          <a:extLst>
            <a:ext uri="{FF2B5EF4-FFF2-40B4-BE49-F238E27FC236}">
              <a16:creationId xmlns:a16="http://schemas.microsoft.com/office/drawing/2014/main" id="{00000000-0008-0000-0F00-000010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18</xdr:row>
      <xdr:rowOff>0</xdr:rowOff>
    </xdr:from>
    <xdr:ext cx="123825" cy="945696"/>
    <xdr:sp macro="" textlink="">
      <xdr:nvSpPr>
        <xdr:cNvPr id="1297" name="Text Box 209">
          <a:extLst>
            <a:ext uri="{FF2B5EF4-FFF2-40B4-BE49-F238E27FC236}">
              <a16:creationId xmlns:a16="http://schemas.microsoft.com/office/drawing/2014/main" id="{00000000-0008-0000-0F00-000011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18</xdr:row>
      <xdr:rowOff>0</xdr:rowOff>
    </xdr:from>
    <xdr:ext cx="123825" cy="945696"/>
    <xdr:sp macro="" textlink="">
      <xdr:nvSpPr>
        <xdr:cNvPr id="1298" name="Text Box 210">
          <a:extLst>
            <a:ext uri="{FF2B5EF4-FFF2-40B4-BE49-F238E27FC236}">
              <a16:creationId xmlns:a16="http://schemas.microsoft.com/office/drawing/2014/main" id="{00000000-0008-0000-0F00-000012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299" name="Text Box 211">
          <a:extLst>
            <a:ext uri="{FF2B5EF4-FFF2-40B4-BE49-F238E27FC236}">
              <a16:creationId xmlns:a16="http://schemas.microsoft.com/office/drawing/2014/main" id="{00000000-0008-0000-0F00-000013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300" name="Text Box 212">
          <a:extLst>
            <a:ext uri="{FF2B5EF4-FFF2-40B4-BE49-F238E27FC236}">
              <a16:creationId xmlns:a16="http://schemas.microsoft.com/office/drawing/2014/main" id="{00000000-0008-0000-0F00-000014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301" name="Text Box 213">
          <a:extLst>
            <a:ext uri="{FF2B5EF4-FFF2-40B4-BE49-F238E27FC236}">
              <a16:creationId xmlns:a16="http://schemas.microsoft.com/office/drawing/2014/main" id="{00000000-0008-0000-0F00-000015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18</xdr:row>
      <xdr:rowOff>0</xdr:rowOff>
    </xdr:from>
    <xdr:ext cx="123825" cy="831396"/>
    <xdr:sp macro="" textlink="">
      <xdr:nvSpPr>
        <xdr:cNvPr id="1302" name="Text Box 214">
          <a:extLst>
            <a:ext uri="{FF2B5EF4-FFF2-40B4-BE49-F238E27FC236}">
              <a16:creationId xmlns:a16="http://schemas.microsoft.com/office/drawing/2014/main" id="{00000000-0008-0000-0F00-000016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7</xdr:col>
      <xdr:colOff>0</xdr:colOff>
      <xdr:row>17</xdr:row>
      <xdr:rowOff>0</xdr:rowOff>
    </xdr:from>
    <xdr:ext cx="123825" cy="940252"/>
    <xdr:sp macro="" textlink="">
      <xdr:nvSpPr>
        <xdr:cNvPr id="1303" name="Text Box 197">
          <a:extLst>
            <a:ext uri="{FF2B5EF4-FFF2-40B4-BE49-F238E27FC236}">
              <a16:creationId xmlns:a16="http://schemas.microsoft.com/office/drawing/2014/main" id="{00000000-0008-0000-0F00-000017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17</xdr:row>
      <xdr:rowOff>0</xdr:rowOff>
    </xdr:from>
    <xdr:ext cx="123825" cy="940252"/>
    <xdr:sp macro="" textlink="">
      <xdr:nvSpPr>
        <xdr:cNvPr id="1304" name="Text Box 198">
          <a:extLst>
            <a:ext uri="{FF2B5EF4-FFF2-40B4-BE49-F238E27FC236}">
              <a16:creationId xmlns:a16="http://schemas.microsoft.com/office/drawing/2014/main" id="{00000000-0008-0000-0F00-000018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17</xdr:row>
      <xdr:rowOff>0</xdr:rowOff>
    </xdr:from>
    <xdr:ext cx="123825" cy="940252"/>
    <xdr:sp macro="" textlink="">
      <xdr:nvSpPr>
        <xdr:cNvPr id="1305" name="Text Box 199">
          <a:extLst>
            <a:ext uri="{FF2B5EF4-FFF2-40B4-BE49-F238E27FC236}">
              <a16:creationId xmlns:a16="http://schemas.microsoft.com/office/drawing/2014/main" id="{00000000-0008-0000-0F00-000019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17</xdr:row>
      <xdr:rowOff>0</xdr:rowOff>
    </xdr:from>
    <xdr:ext cx="123825" cy="940252"/>
    <xdr:sp macro="" textlink="">
      <xdr:nvSpPr>
        <xdr:cNvPr id="1306" name="Text Box 200">
          <a:extLst>
            <a:ext uri="{FF2B5EF4-FFF2-40B4-BE49-F238E27FC236}">
              <a16:creationId xmlns:a16="http://schemas.microsoft.com/office/drawing/2014/main" id="{00000000-0008-0000-0F00-00001A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17</xdr:row>
      <xdr:rowOff>0</xdr:rowOff>
    </xdr:from>
    <xdr:ext cx="123825" cy="940252"/>
    <xdr:sp macro="" textlink="">
      <xdr:nvSpPr>
        <xdr:cNvPr id="1307" name="Text Box 201">
          <a:extLst>
            <a:ext uri="{FF2B5EF4-FFF2-40B4-BE49-F238E27FC236}">
              <a16:creationId xmlns:a16="http://schemas.microsoft.com/office/drawing/2014/main" id="{00000000-0008-0000-0F00-00001B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17</xdr:row>
      <xdr:rowOff>0</xdr:rowOff>
    </xdr:from>
    <xdr:ext cx="123825" cy="940252"/>
    <xdr:sp macro="" textlink="">
      <xdr:nvSpPr>
        <xdr:cNvPr id="1308" name="Text Box 202">
          <a:extLst>
            <a:ext uri="{FF2B5EF4-FFF2-40B4-BE49-F238E27FC236}">
              <a16:creationId xmlns:a16="http://schemas.microsoft.com/office/drawing/2014/main" id="{00000000-0008-0000-0F00-00001C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17</xdr:row>
      <xdr:rowOff>0</xdr:rowOff>
    </xdr:from>
    <xdr:ext cx="123825" cy="940252"/>
    <xdr:sp macro="" textlink="">
      <xdr:nvSpPr>
        <xdr:cNvPr id="1309" name="Text Box 203">
          <a:extLst>
            <a:ext uri="{FF2B5EF4-FFF2-40B4-BE49-F238E27FC236}">
              <a16:creationId xmlns:a16="http://schemas.microsoft.com/office/drawing/2014/main" id="{00000000-0008-0000-0F00-00001D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17</xdr:row>
      <xdr:rowOff>0</xdr:rowOff>
    </xdr:from>
    <xdr:ext cx="123825" cy="940252"/>
    <xdr:sp macro="" textlink="">
      <xdr:nvSpPr>
        <xdr:cNvPr id="1310" name="Text Box 204">
          <a:extLst>
            <a:ext uri="{FF2B5EF4-FFF2-40B4-BE49-F238E27FC236}">
              <a16:creationId xmlns:a16="http://schemas.microsoft.com/office/drawing/2014/main" id="{00000000-0008-0000-0F00-00001E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17</xdr:row>
      <xdr:rowOff>0</xdr:rowOff>
    </xdr:from>
    <xdr:ext cx="114300" cy="1054552"/>
    <xdr:sp macro="" textlink="">
      <xdr:nvSpPr>
        <xdr:cNvPr id="1311" name="Text Box 205">
          <a:extLst>
            <a:ext uri="{FF2B5EF4-FFF2-40B4-BE49-F238E27FC236}">
              <a16:creationId xmlns:a16="http://schemas.microsoft.com/office/drawing/2014/main" id="{00000000-0008-0000-0F00-00001F050000}"/>
            </a:ext>
          </a:extLst>
        </xdr:cNvPr>
        <xdr:cNvSpPr txBox="1">
          <a:spLocks noChangeArrowheads="1"/>
        </xdr:cNvSpPr>
      </xdr:nvSpPr>
      <xdr:spPr bwMode="auto">
        <a:xfrm>
          <a:off x="4286250" y="4921250"/>
          <a:ext cx="114300" cy="1054552"/>
        </a:xfrm>
        <a:prstGeom prst="rect">
          <a:avLst/>
        </a:prstGeom>
        <a:noFill/>
        <a:ln w="9525">
          <a:noFill/>
          <a:miter lim="800000"/>
          <a:headEnd/>
          <a:tailEnd/>
        </a:ln>
      </xdr:spPr>
    </xdr:sp>
    <xdr:clientData/>
  </xdr:oneCellAnchor>
  <xdr:oneCellAnchor>
    <xdr:from>
      <xdr:col>7</xdr:col>
      <xdr:colOff>0</xdr:colOff>
      <xdr:row>17</xdr:row>
      <xdr:rowOff>0</xdr:rowOff>
    </xdr:from>
    <xdr:ext cx="114300" cy="1054552"/>
    <xdr:sp macro="" textlink="">
      <xdr:nvSpPr>
        <xdr:cNvPr id="1312" name="Text Box 206">
          <a:extLst>
            <a:ext uri="{FF2B5EF4-FFF2-40B4-BE49-F238E27FC236}">
              <a16:creationId xmlns:a16="http://schemas.microsoft.com/office/drawing/2014/main" id="{00000000-0008-0000-0F00-000020050000}"/>
            </a:ext>
          </a:extLst>
        </xdr:cNvPr>
        <xdr:cNvSpPr txBox="1">
          <a:spLocks noChangeArrowheads="1"/>
        </xdr:cNvSpPr>
      </xdr:nvSpPr>
      <xdr:spPr bwMode="auto">
        <a:xfrm>
          <a:off x="4286250" y="4921250"/>
          <a:ext cx="114300" cy="1054552"/>
        </a:xfrm>
        <a:prstGeom prst="rect">
          <a:avLst/>
        </a:prstGeom>
        <a:noFill/>
        <a:ln w="9525">
          <a:noFill/>
          <a:miter lim="800000"/>
          <a:headEnd/>
          <a:tailEnd/>
        </a:ln>
      </xdr:spPr>
    </xdr:sp>
    <xdr:clientData/>
  </xdr:oneCellAnchor>
  <xdr:oneCellAnchor>
    <xdr:from>
      <xdr:col>7</xdr:col>
      <xdr:colOff>0</xdr:colOff>
      <xdr:row>17</xdr:row>
      <xdr:rowOff>0</xdr:rowOff>
    </xdr:from>
    <xdr:ext cx="123825" cy="1054552"/>
    <xdr:sp macro="" textlink="">
      <xdr:nvSpPr>
        <xdr:cNvPr id="1313" name="Text Box 207">
          <a:extLst>
            <a:ext uri="{FF2B5EF4-FFF2-40B4-BE49-F238E27FC236}">
              <a16:creationId xmlns:a16="http://schemas.microsoft.com/office/drawing/2014/main" id="{00000000-0008-0000-0F00-00002105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17</xdr:row>
      <xdr:rowOff>0</xdr:rowOff>
    </xdr:from>
    <xdr:ext cx="123825" cy="1054552"/>
    <xdr:sp macro="" textlink="">
      <xdr:nvSpPr>
        <xdr:cNvPr id="1314" name="Text Box 208">
          <a:extLst>
            <a:ext uri="{FF2B5EF4-FFF2-40B4-BE49-F238E27FC236}">
              <a16:creationId xmlns:a16="http://schemas.microsoft.com/office/drawing/2014/main" id="{00000000-0008-0000-0F00-00002205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17</xdr:row>
      <xdr:rowOff>0</xdr:rowOff>
    </xdr:from>
    <xdr:ext cx="123825" cy="1054552"/>
    <xdr:sp macro="" textlink="">
      <xdr:nvSpPr>
        <xdr:cNvPr id="1315" name="Text Box 209">
          <a:extLst>
            <a:ext uri="{FF2B5EF4-FFF2-40B4-BE49-F238E27FC236}">
              <a16:creationId xmlns:a16="http://schemas.microsoft.com/office/drawing/2014/main" id="{00000000-0008-0000-0F00-00002305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17</xdr:row>
      <xdr:rowOff>0</xdr:rowOff>
    </xdr:from>
    <xdr:ext cx="123825" cy="1054552"/>
    <xdr:sp macro="" textlink="">
      <xdr:nvSpPr>
        <xdr:cNvPr id="1316" name="Text Box 210">
          <a:extLst>
            <a:ext uri="{FF2B5EF4-FFF2-40B4-BE49-F238E27FC236}">
              <a16:creationId xmlns:a16="http://schemas.microsoft.com/office/drawing/2014/main" id="{00000000-0008-0000-0F00-00002405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17</xdr:row>
      <xdr:rowOff>0</xdr:rowOff>
    </xdr:from>
    <xdr:ext cx="123825" cy="940252"/>
    <xdr:sp macro="" textlink="">
      <xdr:nvSpPr>
        <xdr:cNvPr id="1317" name="Text Box 211">
          <a:extLst>
            <a:ext uri="{FF2B5EF4-FFF2-40B4-BE49-F238E27FC236}">
              <a16:creationId xmlns:a16="http://schemas.microsoft.com/office/drawing/2014/main" id="{00000000-0008-0000-0F00-000025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17</xdr:row>
      <xdr:rowOff>0</xdr:rowOff>
    </xdr:from>
    <xdr:ext cx="123825" cy="940252"/>
    <xdr:sp macro="" textlink="">
      <xdr:nvSpPr>
        <xdr:cNvPr id="1318" name="Text Box 212">
          <a:extLst>
            <a:ext uri="{FF2B5EF4-FFF2-40B4-BE49-F238E27FC236}">
              <a16:creationId xmlns:a16="http://schemas.microsoft.com/office/drawing/2014/main" id="{00000000-0008-0000-0F00-000026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17</xdr:row>
      <xdr:rowOff>0</xdr:rowOff>
    </xdr:from>
    <xdr:ext cx="123825" cy="940252"/>
    <xdr:sp macro="" textlink="">
      <xdr:nvSpPr>
        <xdr:cNvPr id="1319" name="Text Box 213">
          <a:extLst>
            <a:ext uri="{FF2B5EF4-FFF2-40B4-BE49-F238E27FC236}">
              <a16:creationId xmlns:a16="http://schemas.microsoft.com/office/drawing/2014/main" id="{00000000-0008-0000-0F00-000027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17</xdr:row>
      <xdr:rowOff>0</xdr:rowOff>
    </xdr:from>
    <xdr:ext cx="123825" cy="940252"/>
    <xdr:sp macro="" textlink="">
      <xdr:nvSpPr>
        <xdr:cNvPr id="1320" name="Text Box 214">
          <a:extLst>
            <a:ext uri="{FF2B5EF4-FFF2-40B4-BE49-F238E27FC236}">
              <a16:creationId xmlns:a16="http://schemas.microsoft.com/office/drawing/2014/main" id="{00000000-0008-0000-0F00-000028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21" name="Text Box 197">
          <a:extLst>
            <a:ext uri="{FF2B5EF4-FFF2-40B4-BE49-F238E27FC236}">
              <a16:creationId xmlns:a16="http://schemas.microsoft.com/office/drawing/2014/main" id="{00000000-0008-0000-0F00-000029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22" name="Text Box 198">
          <a:extLst>
            <a:ext uri="{FF2B5EF4-FFF2-40B4-BE49-F238E27FC236}">
              <a16:creationId xmlns:a16="http://schemas.microsoft.com/office/drawing/2014/main" id="{00000000-0008-0000-0F00-00002A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23" name="Text Box 199">
          <a:extLst>
            <a:ext uri="{FF2B5EF4-FFF2-40B4-BE49-F238E27FC236}">
              <a16:creationId xmlns:a16="http://schemas.microsoft.com/office/drawing/2014/main" id="{00000000-0008-0000-0F00-00002B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24" name="Text Box 200">
          <a:extLst>
            <a:ext uri="{FF2B5EF4-FFF2-40B4-BE49-F238E27FC236}">
              <a16:creationId xmlns:a16="http://schemas.microsoft.com/office/drawing/2014/main" id="{00000000-0008-0000-0F00-00002C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25" name="Text Box 201">
          <a:extLst>
            <a:ext uri="{FF2B5EF4-FFF2-40B4-BE49-F238E27FC236}">
              <a16:creationId xmlns:a16="http://schemas.microsoft.com/office/drawing/2014/main" id="{00000000-0008-0000-0F00-00002D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26" name="Text Box 202">
          <a:extLst>
            <a:ext uri="{FF2B5EF4-FFF2-40B4-BE49-F238E27FC236}">
              <a16:creationId xmlns:a16="http://schemas.microsoft.com/office/drawing/2014/main" id="{00000000-0008-0000-0F00-00002E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27" name="Text Box 203">
          <a:extLst>
            <a:ext uri="{FF2B5EF4-FFF2-40B4-BE49-F238E27FC236}">
              <a16:creationId xmlns:a16="http://schemas.microsoft.com/office/drawing/2014/main" id="{00000000-0008-0000-0F00-00002F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28" name="Text Box 204">
          <a:extLst>
            <a:ext uri="{FF2B5EF4-FFF2-40B4-BE49-F238E27FC236}">
              <a16:creationId xmlns:a16="http://schemas.microsoft.com/office/drawing/2014/main" id="{00000000-0008-0000-0F00-000030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14300" cy="945696"/>
    <xdr:sp macro="" textlink="">
      <xdr:nvSpPr>
        <xdr:cNvPr id="1329" name="Text Box 205">
          <a:extLst>
            <a:ext uri="{FF2B5EF4-FFF2-40B4-BE49-F238E27FC236}">
              <a16:creationId xmlns:a16="http://schemas.microsoft.com/office/drawing/2014/main" id="{00000000-0008-0000-0F00-00003105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18</xdr:row>
      <xdr:rowOff>0</xdr:rowOff>
    </xdr:from>
    <xdr:ext cx="114300" cy="945696"/>
    <xdr:sp macro="" textlink="">
      <xdr:nvSpPr>
        <xdr:cNvPr id="1330" name="Text Box 206">
          <a:extLst>
            <a:ext uri="{FF2B5EF4-FFF2-40B4-BE49-F238E27FC236}">
              <a16:creationId xmlns:a16="http://schemas.microsoft.com/office/drawing/2014/main" id="{00000000-0008-0000-0F00-00003205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18</xdr:row>
      <xdr:rowOff>0</xdr:rowOff>
    </xdr:from>
    <xdr:ext cx="123825" cy="945696"/>
    <xdr:sp macro="" textlink="">
      <xdr:nvSpPr>
        <xdr:cNvPr id="1331" name="Text Box 207">
          <a:extLst>
            <a:ext uri="{FF2B5EF4-FFF2-40B4-BE49-F238E27FC236}">
              <a16:creationId xmlns:a16="http://schemas.microsoft.com/office/drawing/2014/main" id="{00000000-0008-0000-0F00-00003305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18</xdr:row>
      <xdr:rowOff>0</xdr:rowOff>
    </xdr:from>
    <xdr:ext cx="123825" cy="945696"/>
    <xdr:sp macro="" textlink="">
      <xdr:nvSpPr>
        <xdr:cNvPr id="1332" name="Text Box 208">
          <a:extLst>
            <a:ext uri="{FF2B5EF4-FFF2-40B4-BE49-F238E27FC236}">
              <a16:creationId xmlns:a16="http://schemas.microsoft.com/office/drawing/2014/main" id="{00000000-0008-0000-0F00-00003405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18</xdr:row>
      <xdr:rowOff>0</xdr:rowOff>
    </xdr:from>
    <xdr:ext cx="123825" cy="945696"/>
    <xdr:sp macro="" textlink="">
      <xdr:nvSpPr>
        <xdr:cNvPr id="1333" name="Text Box 209">
          <a:extLst>
            <a:ext uri="{FF2B5EF4-FFF2-40B4-BE49-F238E27FC236}">
              <a16:creationId xmlns:a16="http://schemas.microsoft.com/office/drawing/2014/main" id="{00000000-0008-0000-0F00-00003505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18</xdr:row>
      <xdr:rowOff>0</xdr:rowOff>
    </xdr:from>
    <xdr:ext cx="123825" cy="945696"/>
    <xdr:sp macro="" textlink="">
      <xdr:nvSpPr>
        <xdr:cNvPr id="1334" name="Text Box 210">
          <a:extLst>
            <a:ext uri="{FF2B5EF4-FFF2-40B4-BE49-F238E27FC236}">
              <a16:creationId xmlns:a16="http://schemas.microsoft.com/office/drawing/2014/main" id="{00000000-0008-0000-0F00-00003605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35" name="Text Box 211">
          <a:extLst>
            <a:ext uri="{FF2B5EF4-FFF2-40B4-BE49-F238E27FC236}">
              <a16:creationId xmlns:a16="http://schemas.microsoft.com/office/drawing/2014/main" id="{00000000-0008-0000-0F00-000037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36" name="Text Box 212">
          <a:extLst>
            <a:ext uri="{FF2B5EF4-FFF2-40B4-BE49-F238E27FC236}">
              <a16:creationId xmlns:a16="http://schemas.microsoft.com/office/drawing/2014/main" id="{00000000-0008-0000-0F00-000038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37" name="Text Box 213">
          <a:extLst>
            <a:ext uri="{FF2B5EF4-FFF2-40B4-BE49-F238E27FC236}">
              <a16:creationId xmlns:a16="http://schemas.microsoft.com/office/drawing/2014/main" id="{00000000-0008-0000-0F00-000039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38" name="Text Box 214">
          <a:extLst>
            <a:ext uri="{FF2B5EF4-FFF2-40B4-BE49-F238E27FC236}">
              <a16:creationId xmlns:a16="http://schemas.microsoft.com/office/drawing/2014/main" id="{00000000-0008-0000-0F00-00003A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17</xdr:row>
      <xdr:rowOff>0</xdr:rowOff>
    </xdr:from>
    <xdr:ext cx="123825" cy="936171"/>
    <xdr:sp macro="" textlink="">
      <xdr:nvSpPr>
        <xdr:cNvPr id="1339" name="Text Box 197">
          <a:extLst>
            <a:ext uri="{FF2B5EF4-FFF2-40B4-BE49-F238E27FC236}">
              <a16:creationId xmlns:a16="http://schemas.microsoft.com/office/drawing/2014/main" id="{00000000-0008-0000-0F00-00003B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17</xdr:row>
      <xdr:rowOff>0</xdr:rowOff>
    </xdr:from>
    <xdr:ext cx="123825" cy="936171"/>
    <xdr:sp macro="" textlink="">
      <xdr:nvSpPr>
        <xdr:cNvPr id="1340" name="Text Box 198">
          <a:extLst>
            <a:ext uri="{FF2B5EF4-FFF2-40B4-BE49-F238E27FC236}">
              <a16:creationId xmlns:a16="http://schemas.microsoft.com/office/drawing/2014/main" id="{00000000-0008-0000-0F00-00003C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17</xdr:row>
      <xdr:rowOff>0</xdr:rowOff>
    </xdr:from>
    <xdr:ext cx="123825" cy="936171"/>
    <xdr:sp macro="" textlink="">
      <xdr:nvSpPr>
        <xdr:cNvPr id="1341" name="Text Box 199">
          <a:extLst>
            <a:ext uri="{FF2B5EF4-FFF2-40B4-BE49-F238E27FC236}">
              <a16:creationId xmlns:a16="http://schemas.microsoft.com/office/drawing/2014/main" id="{00000000-0008-0000-0F00-00003D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17</xdr:row>
      <xdr:rowOff>0</xdr:rowOff>
    </xdr:from>
    <xdr:ext cx="123825" cy="936171"/>
    <xdr:sp macro="" textlink="">
      <xdr:nvSpPr>
        <xdr:cNvPr id="1342" name="Text Box 200">
          <a:extLst>
            <a:ext uri="{FF2B5EF4-FFF2-40B4-BE49-F238E27FC236}">
              <a16:creationId xmlns:a16="http://schemas.microsoft.com/office/drawing/2014/main" id="{00000000-0008-0000-0F00-00003E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17</xdr:row>
      <xdr:rowOff>0</xdr:rowOff>
    </xdr:from>
    <xdr:ext cx="123825" cy="936171"/>
    <xdr:sp macro="" textlink="">
      <xdr:nvSpPr>
        <xdr:cNvPr id="1343" name="Text Box 201">
          <a:extLst>
            <a:ext uri="{FF2B5EF4-FFF2-40B4-BE49-F238E27FC236}">
              <a16:creationId xmlns:a16="http://schemas.microsoft.com/office/drawing/2014/main" id="{00000000-0008-0000-0F00-00003F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17</xdr:row>
      <xdr:rowOff>0</xdr:rowOff>
    </xdr:from>
    <xdr:ext cx="123825" cy="936171"/>
    <xdr:sp macro="" textlink="">
      <xdr:nvSpPr>
        <xdr:cNvPr id="1344" name="Text Box 202">
          <a:extLst>
            <a:ext uri="{FF2B5EF4-FFF2-40B4-BE49-F238E27FC236}">
              <a16:creationId xmlns:a16="http://schemas.microsoft.com/office/drawing/2014/main" id="{00000000-0008-0000-0F00-000040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17</xdr:row>
      <xdr:rowOff>0</xdr:rowOff>
    </xdr:from>
    <xdr:ext cx="123825" cy="936171"/>
    <xdr:sp macro="" textlink="">
      <xdr:nvSpPr>
        <xdr:cNvPr id="1345" name="Text Box 203">
          <a:extLst>
            <a:ext uri="{FF2B5EF4-FFF2-40B4-BE49-F238E27FC236}">
              <a16:creationId xmlns:a16="http://schemas.microsoft.com/office/drawing/2014/main" id="{00000000-0008-0000-0F00-000041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17</xdr:row>
      <xdr:rowOff>0</xdr:rowOff>
    </xdr:from>
    <xdr:ext cx="123825" cy="936171"/>
    <xdr:sp macro="" textlink="">
      <xdr:nvSpPr>
        <xdr:cNvPr id="1346" name="Text Box 204">
          <a:extLst>
            <a:ext uri="{FF2B5EF4-FFF2-40B4-BE49-F238E27FC236}">
              <a16:creationId xmlns:a16="http://schemas.microsoft.com/office/drawing/2014/main" id="{00000000-0008-0000-0F00-000042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17</xdr:row>
      <xdr:rowOff>0</xdr:rowOff>
    </xdr:from>
    <xdr:ext cx="114300" cy="1050471"/>
    <xdr:sp macro="" textlink="">
      <xdr:nvSpPr>
        <xdr:cNvPr id="1347" name="Text Box 205">
          <a:extLst>
            <a:ext uri="{FF2B5EF4-FFF2-40B4-BE49-F238E27FC236}">
              <a16:creationId xmlns:a16="http://schemas.microsoft.com/office/drawing/2014/main" id="{00000000-0008-0000-0F00-000043050000}"/>
            </a:ext>
          </a:extLst>
        </xdr:cNvPr>
        <xdr:cNvSpPr txBox="1">
          <a:spLocks noChangeArrowheads="1"/>
        </xdr:cNvSpPr>
      </xdr:nvSpPr>
      <xdr:spPr bwMode="auto">
        <a:xfrm>
          <a:off x="4286250" y="4921250"/>
          <a:ext cx="114300" cy="1050471"/>
        </a:xfrm>
        <a:prstGeom prst="rect">
          <a:avLst/>
        </a:prstGeom>
        <a:noFill/>
        <a:ln w="9525">
          <a:noFill/>
          <a:miter lim="800000"/>
          <a:headEnd/>
          <a:tailEnd/>
        </a:ln>
      </xdr:spPr>
    </xdr:sp>
    <xdr:clientData/>
  </xdr:oneCellAnchor>
  <xdr:oneCellAnchor>
    <xdr:from>
      <xdr:col>7</xdr:col>
      <xdr:colOff>0</xdr:colOff>
      <xdr:row>17</xdr:row>
      <xdr:rowOff>0</xdr:rowOff>
    </xdr:from>
    <xdr:ext cx="114300" cy="1050471"/>
    <xdr:sp macro="" textlink="">
      <xdr:nvSpPr>
        <xdr:cNvPr id="1348" name="Text Box 206">
          <a:extLst>
            <a:ext uri="{FF2B5EF4-FFF2-40B4-BE49-F238E27FC236}">
              <a16:creationId xmlns:a16="http://schemas.microsoft.com/office/drawing/2014/main" id="{00000000-0008-0000-0F00-000044050000}"/>
            </a:ext>
          </a:extLst>
        </xdr:cNvPr>
        <xdr:cNvSpPr txBox="1">
          <a:spLocks noChangeArrowheads="1"/>
        </xdr:cNvSpPr>
      </xdr:nvSpPr>
      <xdr:spPr bwMode="auto">
        <a:xfrm>
          <a:off x="4286250" y="4921250"/>
          <a:ext cx="114300" cy="1050471"/>
        </a:xfrm>
        <a:prstGeom prst="rect">
          <a:avLst/>
        </a:prstGeom>
        <a:noFill/>
        <a:ln w="9525">
          <a:noFill/>
          <a:miter lim="800000"/>
          <a:headEnd/>
          <a:tailEnd/>
        </a:ln>
      </xdr:spPr>
    </xdr:sp>
    <xdr:clientData/>
  </xdr:oneCellAnchor>
  <xdr:oneCellAnchor>
    <xdr:from>
      <xdr:col>7</xdr:col>
      <xdr:colOff>0</xdr:colOff>
      <xdr:row>17</xdr:row>
      <xdr:rowOff>0</xdr:rowOff>
    </xdr:from>
    <xdr:ext cx="123825" cy="1050471"/>
    <xdr:sp macro="" textlink="">
      <xdr:nvSpPr>
        <xdr:cNvPr id="1349" name="Text Box 207">
          <a:extLst>
            <a:ext uri="{FF2B5EF4-FFF2-40B4-BE49-F238E27FC236}">
              <a16:creationId xmlns:a16="http://schemas.microsoft.com/office/drawing/2014/main" id="{00000000-0008-0000-0F00-00004505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17</xdr:row>
      <xdr:rowOff>0</xdr:rowOff>
    </xdr:from>
    <xdr:ext cx="123825" cy="1050471"/>
    <xdr:sp macro="" textlink="">
      <xdr:nvSpPr>
        <xdr:cNvPr id="1350" name="Text Box 208">
          <a:extLst>
            <a:ext uri="{FF2B5EF4-FFF2-40B4-BE49-F238E27FC236}">
              <a16:creationId xmlns:a16="http://schemas.microsoft.com/office/drawing/2014/main" id="{00000000-0008-0000-0F00-00004605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17</xdr:row>
      <xdr:rowOff>0</xdr:rowOff>
    </xdr:from>
    <xdr:ext cx="123825" cy="1050471"/>
    <xdr:sp macro="" textlink="">
      <xdr:nvSpPr>
        <xdr:cNvPr id="1351" name="Text Box 209">
          <a:extLst>
            <a:ext uri="{FF2B5EF4-FFF2-40B4-BE49-F238E27FC236}">
              <a16:creationId xmlns:a16="http://schemas.microsoft.com/office/drawing/2014/main" id="{00000000-0008-0000-0F00-00004705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17</xdr:row>
      <xdr:rowOff>0</xdr:rowOff>
    </xdr:from>
    <xdr:ext cx="123825" cy="1050471"/>
    <xdr:sp macro="" textlink="">
      <xdr:nvSpPr>
        <xdr:cNvPr id="1352" name="Text Box 210">
          <a:extLst>
            <a:ext uri="{FF2B5EF4-FFF2-40B4-BE49-F238E27FC236}">
              <a16:creationId xmlns:a16="http://schemas.microsoft.com/office/drawing/2014/main" id="{00000000-0008-0000-0F00-00004805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17</xdr:row>
      <xdr:rowOff>0</xdr:rowOff>
    </xdr:from>
    <xdr:ext cx="123825" cy="936171"/>
    <xdr:sp macro="" textlink="">
      <xdr:nvSpPr>
        <xdr:cNvPr id="1353" name="Text Box 211">
          <a:extLst>
            <a:ext uri="{FF2B5EF4-FFF2-40B4-BE49-F238E27FC236}">
              <a16:creationId xmlns:a16="http://schemas.microsoft.com/office/drawing/2014/main" id="{00000000-0008-0000-0F00-000049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17</xdr:row>
      <xdr:rowOff>0</xdr:rowOff>
    </xdr:from>
    <xdr:ext cx="123825" cy="936171"/>
    <xdr:sp macro="" textlink="">
      <xdr:nvSpPr>
        <xdr:cNvPr id="1354" name="Text Box 212">
          <a:extLst>
            <a:ext uri="{FF2B5EF4-FFF2-40B4-BE49-F238E27FC236}">
              <a16:creationId xmlns:a16="http://schemas.microsoft.com/office/drawing/2014/main" id="{00000000-0008-0000-0F00-00004A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17</xdr:row>
      <xdr:rowOff>0</xdr:rowOff>
    </xdr:from>
    <xdr:ext cx="123825" cy="936171"/>
    <xdr:sp macro="" textlink="">
      <xdr:nvSpPr>
        <xdr:cNvPr id="1355" name="Text Box 213">
          <a:extLst>
            <a:ext uri="{FF2B5EF4-FFF2-40B4-BE49-F238E27FC236}">
              <a16:creationId xmlns:a16="http://schemas.microsoft.com/office/drawing/2014/main" id="{00000000-0008-0000-0F00-00004B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17</xdr:row>
      <xdr:rowOff>0</xdr:rowOff>
    </xdr:from>
    <xdr:ext cx="123825" cy="936171"/>
    <xdr:sp macro="" textlink="">
      <xdr:nvSpPr>
        <xdr:cNvPr id="1356" name="Text Box 214">
          <a:extLst>
            <a:ext uri="{FF2B5EF4-FFF2-40B4-BE49-F238E27FC236}">
              <a16:creationId xmlns:a16="http://schemas.microsoft.com/office/drawing/2014/main" id="{00000000-0008-0000-0F00-00004C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57" name="Text Box 197">
          <a:extLst>
            <a:ext uri="{FF2B5EF4-FFF2-40B4-BE49-F238E27FC236}">
              <a16:creationId xmlns:a16="http://schemas.microsoft.com/office/drawing/2014/main" id="{00000000-0008-0000-0F00-00004D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58" name="Text Box 198">
          <a:extLst>
            <a:ext uri="{FF2B5EF4-FFF2-40B4-BE49-F238E27FC236}">
              <a16:creationId xmlns:a16="http://schemas.microsoft.com/office/drawing/2014/main" id="{00000000-0008-0000-0F00-00004E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59" name="Text Box 199">
          <a:extLst>
            <a:ext uri="{FF2B5EF4-FFF2-40B4-BE49-F238E27FC236}">
              <a16:creationId xmlns:a16="http://schemas.microsoft.com/office/drawing/2014/main" id="{00000000-0008-0000-0F00-00004F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60" name="Text Box 200">
          <a:extLst>
            <a:ext uri="{FF2B5EF4-FFF2-40B4-BE49-F238E27FC236}">
              <a16:creationId xmlns:a16="http://schemas.microsoft.com/office/drawing/2014/main" id="{00000000-0008-0000-0F00-000050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61" name="Text Box 201">
          <a:extLst>
            <a:ext uri="{FF2B5EF4-FFF2-40B4-BE49-F238E27FC236}">
              <a16:creationId xmlns:a16="http://schemas.microsoft.com/office/drawing/2014/main" id="{00000000-0008-0000-0F00-000051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62" name="Text Box 202">
          <a:extLst>
            <a:ext uri="{FF2B5EF4-FFF2-40B4-BE49-F238E27FC236}">
              <a16:creationId xmlns:a16="http://schemas.microsoft.com/office/drawing/2014/main" id="{00000000-0008-0000-0F00-000052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63" name="Text Box 203">
          <a:extLst>
            <a:ext uri="{FF2B5EF4-FFF2-40B4-BE49-F238E27FC236}">
              <a16:creationId xmlns:a16="http://schemas.microsoft.com/office/drawing/2014/main" id="{00000000-0008-0000-0F00-000053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64" name="Text Box 204">
          <a:extLst>
            <a:ext uri="{FF2B5EF4-FFF2-40B4-BE49-F238E27FC236}">
              <a16:creationId xmlns:a16="http://schemas.microsoft.com/office/drawing/2014/main" id="{00000000-0008-0000-0F00-000054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14300" cy="945696"/>
    <xdr:sp macro="" textlink="">
      <xdr:nvSpPr>
        <xdr:cNvPr id="1365" name="Text Box 205">
          <a:extLst>
            <a:ext uri="{FF2B5EF4-FFF2-40B4-BE49-F238E27FC236}">
              <a16:creationId xmlns:a16="http://schemas.microsoft.com/office/drawing/2014/main" id="{00000000-0008-0000-0F00-00005505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18</xdr:row>
      <xdr:rowOff>0</xdr:rowOff>
    </xdr:from>
    <xdr:ext cx="114300" cy="945696"/>
    <xdr:sp macro="" textlink="">
      <xdr:nvSpPr>
        <xdr:cNvPr id="1366" name="Text Box 206">
          <a:extLst>
            <a:ext uri="{FF2B5EF4-FFF2-40B4-BE49-F238E27FC236}">
              <a16:creationId xmlns:a16="http://schemas.microsoft.com/office/drawing/2014/main" id="{00000000-0008-0000-0F00-00005605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18</xdr:row>
      <xdr:rowOff>0</xdr:rowOff>
    </xdr:from>
    <xdr:ext cx="123825" cy="945696"/>
    <xdr:sp macro="" textlink="">
      <xdr:nvSpPr>
        <xdr:cNvPr id="1367" name="Text Box 207">
          <a:extLst>
            <a:ext uri="{FF2B5EF4-FFF2-40B4-BE49-F238E27FC236}">
              <a16:creationId xmlns:a16="http://schemas.microsoft.com/office/drawing/2014/main" id="{00000000-0008-0000-0F00-00005705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18</xdr:row>
      <xdr:rowOff>0</xdr:rowOff>
    </xdr:from>
    <xdr:ext cx="123825" cy="945696"/>
    <xdr:sp macro="" textlink="">
      <xdr:nvSpPr>
        <xdr:cNvPr id="1368" name="Text Box 208">
          <a:extLst>
            <a:ext uri="{FF2B5EF4-FFF2-40B4-BE49-F238E27FC236}">
              <a16:creationId xmlns:a16="http://schemas.microsoft.com/office/drawing/2014/main" id="{00000000-0008-0000-0F00-00005805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18</xdr:row>
      <xdr:rowOff>0</xdr:rowOff>
    </xdr:from>
    <xdr:ext cx="123825" cy="945696"/>
    <xdr:sp macro="" textlink="">
      <xdr:nvSpPr>
        <xdr:cNvPr id="1369" name="Text Box 209">
          <a:extLst>
            <a:ext uri="{FF2B5EF4-FFF2-40B4-BE49-F238E27FC236}">
              <a16:creationId xmlns:a16="http://schemas.microsoft.com/office/drawing/2014/main" id="{00000000-0008-0000-0F00-00005905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18</xdr:row>
      <xdr:rowOff>0</xdr:rowOff>
    </xdr:from>
    <xdr:ext cx="123825" cy="945696"/>
    <xdr:sp macro="" textlink="">
      <xdr:nvSpPr>
        <xdr:cNvPr id="1370" name="Text Box 210">
          <a:extLst>
            <a:ext uri="{FF2B5EF4-FFF2-40B4-BE49-F238E27FC236}">
              <a16:creationId xmlns:a16="http://schemas.microsoft.com/office/drawing/2014/main" id="{00000000-0008-0000-0F00-00005A05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71" name="Text Box 211">
          <a:extLst>
            <a:ext uri="{FF2B5EF4-FFF2-40B4-BE49-F238E27FC236}">
              <a16:creationId xmlns:a16="http://schemas.microsoft.com/office/drawing/2014/main" id="{00000000-0008-0000-0F00-00005B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72" name="Text Box 212">
          <a:extLst>
            <a:ext uri="{FF2B5EF4-FFF2-40B4-BE49-F238E27FC236}">
              <a16:creationId xmlns:a16="http://schemas.microsoft.com/office/drawing/2014/main" id="{00000000-0008-0000-0F00-00005C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73" name="Text Box 213">
          <a:extLst>
            <a:ext uri="{FF2B5EF4-FFF2-40B4-BE49-F238E27FC236}">
              <a16:creationId xmlns:a16="http://schemas.microsoft.com/office/drawing/2014/main" id="{00000000-0008-0000-0F00-00005D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18</xdr:row>
      <xdr:rowOff>0</xdr:rowOff>
    </xdr:from>
    <xdr:ext cx="123825" cy="831396"/>
    <xdr:sp macro="" textlink="">
      <xdr:nvSpPr>
        <xdr:cNvPr id="1374" name="Text Box 214">
          <a:extLst>
            <a:ext uri="{FF2B5EF4-FFF2-40B4-BE49-F238E27FC236}">
              <a16:creationId xmlns:a16="http://schemas.microsoft.com/office/drawing/2014/main" id="{00000000-0008-0000-0F00-00005E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75" name="Text Box 197">
          <a:extLst>
            <a:ext uri="{FF2B5EF4-FFF2-40B4-BE49-F238E27FC236}">
              <a16:creationId xmlns:a16="http://schemas.microsoft.com/office/drawing/2014/main" id="{00000000-0008-0000-0F00-00005F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76" name="Text Box 198">
          <a:extLst>
            <a:ext uri="{FF2B5EF4-FFF2-40B4-BE49-F238E27FC236}">
              <a16:creationId xmlns:a16="http://schemas.microsoft.com/office/drawing/2014/main" id="{00000000-0008-0000-0F00-000060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77" name="Text Box 199">
          <a:extLst>
            <a:ext uri="{FF2B5EF4-FFF2-40B4-BE49-F238E27FC236}">
              <a16:creationId xmlns:a16="http://schemas.microsoft.com/office/drawing/2014/main" id="{00000000-0008-0000-0F00-000061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78" name="Text Box 200">
          <a:extLst>
            <a:ext uri="{FF2B5EF4-FFF2-40B4-BE49-F238E27FC236}">
              <a16:creationId xmlns:a16="http://schemas.microsoft.com/office/drawing/2014/main" id="{00000000-0008-0000-0F00-000062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79" name="Text Box 201">
          <a:extLst>
            <a:ext uri="{FF2B5EF4-FFF2-40B4-BE49-F238E27FC236}">
              <a16:creationId xmlns:a16="http://schemas.microsoft.com/office/drawing/2014/main" id="{00000000-0008-0000-0F00-000063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80" name="Text Box 202">
          <a:extLst>
            <a:ext uri="{FF2B5EF4-FFF2-40B4-BE49-F238E27FC236}">
              <a16:creationId xmlns:a16="http://schemas.microsoft.com/office/drawing/2014/main" id="{00000000-0008-0000-0F00-000064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81" name="Text Box 203">
          <a:extLst>
            <a:ext uri="{FF2B5EF4-FFF2-40B4-BE49-F238E27FC236}">
              <a16:creationId xmlns:a16="http://schemas.microsoft.com/office/drawing/2014/main" id="{00000000-0008-0000-0F00-000065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82" name="Text Box 204">
          <a:extLst>
            <a:ext uri="{FF2B5EF4-FFF2-40B4-BE49-F238E27FC236}">
              <a16:creationId xmlns:a16="http://schemas.microsoft.com/office/drawing/2014/main" id="{00000000-0008-0000-0F00-000066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14300" cy="945696"/>
    <xdr:sp macro="" textlink="">
      <xdr:nvSpPr>
        <xdr:cNvPr id="1383" name="Text Box 205">
          <a:extLst>
            <a:ext uri="{FF2B5EF4-FFF2-40B4-BE49-F238E27FC236}">
              <a16:creationId xmlns:a16="http://schemas.microsoft.com/office/drawing/2014/main" id="{00000000-0008-0000-0F00-00006705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18</xdr:row>
      <xdr:rowOff>0</xdr:rowOff>
    </xdr:from>
    <xdr:ext cx="114300" cy="945696"/>
    <xdr:sp macro="" textlink="">
      <xdr:nvSpPr>
        <xdr:cNvPr id="1384" name="Text Box 206">
          <a:extLst>
            <a:ext uri="{FF2B5EF4-FFF2-40B4-BE49-F238E27FC236}">
              <a16:creationId xmlns:a16="http://schemas.microsoft.com/office/drawing/2014/main" id="{00000000-0008-0000-0F00-00006805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18</xdr:row>
      <xdr:rowOff>0</xdr:rowOff>
    </xdr:from>
    <xdr:ext cx="123825" cy="945696"/>
    <xdr:sp macro="" textlink="">
      <xdr:nvSpPr>
        <xdr:cNvPr id="1385" name="Text Box 207">
          <a:extLst>
            <a:ext uri="{FF2B5EF4-FFF2-40B4-BE49-F238E27FC236}">
              <a16:creationId xmlns:a16="http://schemas.microsoft.com/office/drawing/2014/main" id="{00000000-0008-0000-0F00-000069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18</xdr:row>
      <xdr:rowOff>0</xdr:rowOff>
    </xdr:from>
    <xdr:ext cx="123825" cy="945696"/>
    <xdr:sp macro="" textlink="">
      <xdr:nvSpPr>
        <xdr:cNvPr id="1386" name="Text Box 208">
          <a:extLst>
            <a:ext uri="{FF2B5EF4-FFF2-40B4-BE49-F238E27FC236}">
              <a16:creationId xmlns:a16="http://schemas.microsoft.com/office/drawing/2014/main" id="{00000000-0008-0000-0F00-00006A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18</xdr:row>
      <xdr:rowOff>0</xdr:rowOff>
    </xdr:from>
    <xdr:ext cx="123825" cy="945696"/>
    <xdr:sp macro="" textlink="">
      <xdr:nvSpPr>
        <xdr:cNvPr id="1387" name="Text Box 209">
          <a:extLst>
            <a:ext uri="{FF2B5EF4-FFF2-40B4-BE49-F238E27FC236}">
              <a16:creationId xmlns:a16="http://schemas.microsoft.com/office/drawing/2014/main" id="{00000000-0008-0000-0F00-00006B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18</xdr:row>
      <xdr:rowOff>0</xdr:rowOff>
    </xdr:from>
    <xdr:ext cx="123825" cy="945696"/>
    <xdr:sp macro="" textlink="">
      <xdr:nvSpPr>
        <xdr:cNvPr id="1388" name="Text Box 210">
          <a:extLst>
            <a:ext uri="{FF2B5EF4-FFF2-40B4-BE49-F238E27FC236}">
              <a16:creationId xmlns:a16="http://schemas.microsoft.com/office/drawing/2014/main" id="{00000000-0008-0000-0F00-00006C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89" name="Text Box 211">
          <a:extLst>
            <a:ext uri="{FF2B5EF4-FFF2-40B4-BE49-F238E27FC236}">
              <a16:creationId xmlns:a16="http://schemas.microsoft.com/office/drawing/2014/main" id="{00000000-0008-0000-0F00-00006D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90" name="Text Box 212">
          <a:extLst>
            <a:ext uri="{FF2B5EF4-FFF2-40B4-BE49-F238E27FC236}">
              <a16:creationId xmlns:a16="http://schemas.microsoft.com/office/drawing/2014/main" id="{00000000-0008-0000-0F00-00006E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91" name="Text Box 213">
          <a:extLst>
            <a:ext uri="{FF2B5EF4-FFF2-40B4-BE49-F238E27FC236}">
              <a16:creationId xmlns:a16="http://schemas.microsoft.com/office/drawing/2014/main" id="{00000000-0008-0000-0F00-00006F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92" name="Text Box 214">
          <a:extLst>
            <a:ext uri="{FF2B5EF4-FFF2-40B4-BE49-F238E27FC236}">
              <a16:creationId xmlns:a16="http://schemas.microsoft.com/office/drawing/2014/main" id="{00000000-0008-0000-0F00-000070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93" name="Text Box 197">
          <a:extLst>
            <a:ext uri="{FF2B5EF4-FFF2-40B4-BE49-F238E27FC236}">
              <a16:creationId xmlns:a16="http://schemas.microsoft.com/office/drawing/2014/main" id="{00000000-0008-0000-0F00-000071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94" name="Text Box 198">
          <a:extLst>
            <a:ext uri="{FF2B5EF4-FFF2-40B4-BE49-F238E27FC236}">
              <a16:creationId xmlns:a16="http://schemas.microsoft.com/office/drawing/2014/main" id="{00000000-0008-0000-0F00-000072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95" name="Text Box 199">
          <a:extLst>
            <a:ext uri="{FF2B5EF4-FFF2-40B4-BE49-F238E27FC236}">
              <a16:creationId xmlns:a16="http://schemas.microsoft.com/office/drawing/2014/main" id="{00000000-0008-0000-0F00-000073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96" name="Text Box 200">
          <a:extLst>
            <a:ext uri="{FF2B5EF4-FFF2-40B4-BE49-F238E27FC236}">
              <a16:creationId xmlns:a16="http://schemas.microsoft.com/office/drawing/2014/main" id="{00000000-0008-0000-0F00-000074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97" name="Text Box 201">
          <a:extLst>
            <a:ext uri="{FF2B5EF4-FFF2-40B4-BE49-F238E27FC236}">
              <a16:creationId xmlns:a16="http://schemas.microsoft.com/office/drawing/2014/main" id="{00000000-0008-0000-0F00-000075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98" name="Text Box 202">
          <a:extLst>
            <a:ext uri="{FF2B5EF4-FFF2-40B4-BE49-F238E27FC236}">
              <a16:creationId xmlns:a16="http://schemas.microsoft.com/office/drawing/2014/main" id="{00000000-0008-0000-0F00-000076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399" name="Text Box 203">
          <a:extLst>
            <a:ext uri="{FF2B5EF4-FFF2-40B4-BE49-F238E27FC236}">
              <a16:creationId xmlns:a16="http://schemas.microsoft.com/office/drawing/2014/main" id="{00000000-0008-0000-0F00-000077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400" name="Text Box 204">
          <a:extLst>
            <a:ext uri="{FF2B5EF4-FFF2-40B4-BE49-F238E27FC236}">
              <a16:creationId xmlns:a16="http://schemas.microsoft.com/office/drawing/2014/main" id="{00000000-0008-0000-0F00-000078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14300" cy="945696"/>
    <xdr:sp macro="" textlink="">
      <xdr:nvSpPr>
        <xdr:cNvPr id="1401" name="Text Box 205">
          <a:extLst>
            <a:ext uri="{FF2B5EF4-FFF2-40B4-BE49-F238E27FC236}">
              <a16:creationId xmlns:a16="http://schemas.microsoft.com/office/drawing/2014/main" id="{00000000-0008-0000-0F00-00007905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18</xdr:row>
      <xdr:rowOff>0</xdr:rowOff>
    </xdr:from>
    <xdr:ext cx="114300" cy="945696"/>
    <xdr:sp macro="" textlink="">
      <xdr:nvSpPr>
        <xdr:cNvPr id="1402" name="Text Box 206">
          <a:extLst>
            <a:ext uri="{FF2B5EF4-FFF2-40B4-BE49-F238E27FC236}">
              <a16:creationId xmlns:a16="http://schemas.microsoft.com/office/drawing/2014/main" id="{00000000-0008-0000-0F00-00007A05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18</xdr:row>
      <xdr:rowOff>0</xdr:rowOff>
    </xdr:from>
    <xdr:ext cx="123825" cy="945696"/>
    <xdr:sp macro="" textlink="">
      <xdr:nvSpPr>
        <xdr:cNvPr id="1403" name="Text Box 207">
          <a:extLst>
            <a:ext uri="{FF2B5EF4-FFF2-40B4-BE49-F238E27FC236}">
              <a16:creationId xmlns:a16="http://schemas.microsoft.com/office/drawing/2014/main" id="{00000000-0008-0000-0F00-00007B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18</xdr:row>
      <xdr:rowOff>0</xdr:rowOff>
    </xdr:from>
    <xdr:ext cx="123825" cy="945696"/>
    <xdr:sp macro="" textlink="">
      <xdr:nvSpPr>
        <xdr:cNvPr id="1404" name="Text Box 208">
          <a:extLst>
            <a:ext uri="{FF2B5EF4-FFF2-40B4-BE49-F238E27FC236}">
              <a16:creationId xmlns:a16="http://schemas.microsoft.com/office/drawing/2014/main" id="{00000000-0008-0000-0F00-00007C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18</xdr:row>
      <xdr:rowOff>0</xdr:rowOff>
    </xdr:from>
    <xdr:ext cx="123825" cy="945696"/>
    <xdr:sp macro="" textlink="">
      <xdr:nvSpPr>
        <xdr:cNvPr id="1405" name="Text Box 209">
          <a:extLst>
            <a:ext uri="{FF2B5EF4-FFF2-40B4-BE49-F238E27FC236}">
              <a16:creationId xmlns:a16="http://schemas.microsoft.com/office/drawing/2014/main" id="{00000000-0008-0000-0F00-00007D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18</xdr:row>
      <xdr:rowOff>0</xdr:rowOff>
    </xdr:from>
    <xdr:ext cx="123825" cy="945696"/>
    <xdr:sp macro="" textlink="">
      <xdr:nvSpPr>
        <xdr:cNvPr id="1406" name="Text Box 210">
          <a:extLst>
            <a:ext uri="{FF2B5EF4-FFF2-40B4-BE49-F238E27FC236}">
              <a16:creationId xmlns:a16="http://schemas.microsoft.com/office/drawing/2014/main" id="{00000000-0008-0000-0F00-00007E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407" name="Text Box 211">
          <a:extLst>
            <a:ext uri="{FF2B5EF4-FFF2-40B4-BE49-F238E27FC236}">
              <a16:creationId xmlns:a16="http://schemas.microsoft.com/office/drawing/2014/main" id="{00000000-0008-0000-0F00-00007F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408" name="Text Box 212">
          <a:extLst>
            <a:ext uri="{FF2B5EF4-FFF2-40B4-BE49-F238E27FC236}">
              <a16:creationId xmlns:a16="http://schemas.microsoft.com/office/drawing/2014/main" id="{00000000-0008-0000-0F00-000080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409" name="Text Box 213">
          <a:extLst>
            <a:ext uri="{FF2B5EF4-FFF2-40B4-BE49-F238E27FC236}">
              <a16:creationId xmlns:a16="http://schemas.microsoft.com/office/drawing/2014/main" id="{00000000-0008-0000-0F00-000081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18</xdr:row>
      <xdr:rowOff>0</xdr:rowOff>
    </xdr:from>
    <xdr:ext cx="123825" cy="831396"/>
    <xdr:sp macro="" textlink="">
      <xdr:nvSpPr>
        <xdr:cNvPr id="1410" name="Text Box 214">
          <a:extLst>
            <a:ext uri="{FF2B5EF4-FFF2-40B4-BE49-F238E27FC236}">
              <a16:creationId xmlns:a16="http://schemas.microsoft.com/office/drawing/2014/main" id="{00000000-0008-0000-0F00-000082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8</xdr:row>
      <xdr:rowOff>0</xdr:rowOff>
    </xdr:from>
    <xdr:ext cx="123825" cy="938741"/>
    <xdr:sp macro="" textlink="">
      <xdr:nvSpPr>
        <xdr:cNvPr id="1411" name="Text Box 197">
          <a:extLst>
            <a:ext uri="{FF2B5EF4-FFF2-40B4-BE49-F238E27FC236}">
              <a16:creationId xmlns:a16="http://schemas.microsoft.com/office/drawing/2014/main" id="{00000000-0008-0000-0F00-00008305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8</xdr:row>
      <xdr:rowOff>0</xdr:rowOff>
    </xdr:from>
    <xdr:ext cx="123825" cy="938741"/>
    <xdr:sp macro="" textlink="">
      <xdr:nvSpPr>
        <xdr:cNvPr id="1412" name="Text Box 198">
          <a:extLst>
            <a:ext uri="{FF2B5EF4-FFF2-40B4-BE49-F238E27FC236}">
              <a16:creationId xmlns:a16="http://schemas.microsoft.com/office/drawing/2014/main" id="{00000000-0008-0000-0F00-00008405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8</xdr:row>
      <xdr:rowOff>0</xdr:rowOff>
    </xdr:from>
    <xdr:ext cx="123825" cy="938741"/>
    <xdr:sp macro="" textlink="">
      <xdr:nvSpPr>
        <xdr:cNvPr id="1413" name="Text Box 199">
          <a:extLst>
            <a:ext uri="{FF2B5EF4-FFF2-40B4-BE49-F238E27FC236}">
              <a16:creationId xmlns:a16="http://schemas.microsoft.com/office/drawing/2014/main" id="{00000000-0008-0000-0F00-00008505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8</xdr:row>
      <xdr:rowOff>0</xdr:rowOff>
    </xdr:from>
    <xdr:ext cx="123825" cy="938741"/>
    <xdr:sp macro="" textlink="">
      <xdr:nvSpPr>
        <xdr:cNvPr id="1414" name="Text Box 200">
          <a:extLst>
            <a:ext uri="{FF2B5EF4-FFF2-40B4-BE49-F238E27FC236}">
              <a16:creationId xmlns:a16="http://schemas.microsoft.com/office/drawing/2014/main" id="{00000000-0008-0000-0F00-00008605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8</xdr:row>
      <xdr:rowOff>0</xdr:rowOff>
    </xdr:from>
    <xdr:ext cx="123825" cy="938741"/>
    <xdr:sp macro="" textlink="">
      <xdr:nvSpPr>
        <xdr:cNvPr id="1415" name="Text Box 201">
          <a:extLst>
            <a:ext uri="{FF2B5EF4-FFF2-40B4-BE49-F238E27FC236}">
              <a16:creationId xmlns:a16="http://schemas.microsoft.com/office/drawing/2014/main" id="{00000000-0008-0000-0F00-00008705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8</xdr:row>
      <xdr:rowOff>0</xdr:rowOff>
    </xdr:from>
    <xdr:ext cx="123825" cy="938741"/>
    <xdr:sp macro="" textlink="">
      <xdr:nvSpPr>
        <xdr:cNvPr id="1416" name="Text Box 202">
          <a:extLst>
            <a:ext uri="{FF2B5EF4-FFF2-40B4-BE49-F238E27FC236}">
              <a16:creationId xmlns:a16="http://schemas.microsoft.com/office/drawing/2014/main" id="{00000000-0008-0000-0F00-00008805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8</xdr:row>
      <xdr:rowOff>0</xdr:rowOff>
    </xdr:from>
    <xdr:ext cx="123825" cy="938741"/>
    <xdr:sp macro="" textlink="">
      <xdr:nvSpPr>
        <xdr:cNvPr id="1417" name="Text Box 203">
          <a:extLst>
            <a:ext uri="{FF2B5EF4-FFF2-40B4-BE49-F238E27FC236}">
              <a16:creationId xmlns:a16="http://schemas.microsoft.com/office/drawing/2014/main" id="{00000000-0008-0000-0F00-00008905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8</xdr:row>
      <xdr:rowOff>0</xdr:rowOff>
    </xdr:from>
    <xdr:ext cx="123825" cy="938741"/>
    <xdr:sp macro="" textlink="">
      <xdr:nvSpPr>
        <xdr:cNvPr id="1418" name="Text Box 204">
          <a:extLst>
            <a:ext uri="{FF2B5EF4-FFF2-40B4-BE49-F238E27FC236}">
              <a16:creationId xmlns:a16="http://schemas.microsoft.com/office/drawing/2014/main" id="{00000000-0008-0000-0F00-00008A05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8</xdr:row>
      <xdr:rowOff>0</xdr:rowOff>
    </xdr:from>
    <xdr:ext cx="114300" cy="1053041"/>
    <xdr:sp macro="" textlink="">
      <xdr:nvSpPr>
        <xdr:cNvPr id="1419" name="Text Box 205">
          <a:extLst>
            <a:ext uri="{FF2B5EF4-FFF2-40B4-BE49-F238E27FC236}">
              <a16:creationId xmlns:a16="http://schemas.microsoft.com/office/drawing/2014/main" id="{00000000-0008-0000-0F00-00008B050000}"/>
            </a:ext>
          </a:extLst>
        </xdr:cNvPr>
        <xdr:cNvSpPr txBox="1">
          <a:spLocks noChangeArrowheads="1"/>
        </xdr:cNvSpPr>
      </xdr:nvSpPr>
      <xdr:spPr bwMode="auto">
        <a:xfrm>
          <a:off x="3100917" y="4921250"/>
          <a:ext cx="114300" cy="1053041"/>
        </a:xfrm>
        <a:prstGeom prst="rect">
          <a:avLst/>
        </a:prstGeom>
        <a:noFill/>
        <a:ln w="9525">
          <a:noFill/>
          <a:miter lim="800000"/>
          <a:headEnd/>
          <a:tailEnd/>
        </a:ln>
      </xdr:spPr>
    </xdr:sp>
    <xdr:clientData/>
  </xdr:oneCellAnchor>
  <xdr:oneCellAnchor>
    <xdr:from>
      <xdr:col>4</xdr:col>
      <xdr:colOff>0</xdr:colOff>
      <xdr:row>8</xdr:row>
      <xdr:rowOff>0</xdr:rowOff>
    </xdr:from>
    <xdr:ext cx="114300" cy="1053041"/>
    <xdr:sp macro="" textlink="">
      <xdr:nvSpPr>
        <xdr:cNvPr id="1420" name="Text Box 206">
          <a:extLst>
            <a:ext uri="{FF2B5EF4-FFF2-40B4-BE49-F238E27FC236}">
              <a16:creationId xmlns:a16="http://schemas.microsoft.com/office/drawing/2014/main" id="{00000000-0008-0000-0F00-00008C050000}"/>
            </a:ext>
          </a:extLst>
        </xdr:cNvPr>
        <xdr:cNvSpPr txBox="1">
          <a:spLocks noChangeArrowheads="1"/>
        </xdr:cNvSpPr>
      </xdr:nvSpPr>
      <xdr:spPr bwMode="auto">
        <a:xfrm>
          <a:off x="3100917" y="4921250"/>
          <a:ext cx="114300" cy="1053041"/>
        </a:xfrm>
        <a:prstGeom prst="rect">
          <a:avLst/>
        </a:prstGeom>
        <a:noFill/>
        <a:ln w="9525">
          <a:noFill/>
          <a:miter lim="800000"/>
          <a:headEnd/>
          <a:tailEnd/>
        </a:ln>
      </xdr:spPr>
    </xdr:sp>
    <xdr:clientData/>
  </xdr:oneCellAnchor>
  <xdr:oneCellAnchor>
    <xdr:from>
      <xdr:col>4</xdr:col>
      <xdr:colOff>0</xdr:colOff>
      <xdr:row>8</xdr:row>
      <xdr:rowOff>0</xdr:rowOff>
    </xdr:from>
    <xdr:ext cx="123825" cy="1053041"/>
    <xdr:sp macro="" textlink="">
      <xdr:nvSpPr>
        <xdr:cNvPr id="1421" name="Text Box 207">
          <a:extLst>
            <a:ext uri="{FF2B5EF4-FFF2-40B4-BE49-F238E27FC236}">
              <a16:creationId xmlns:a16="http://schemas.microsoft.com/office/drawing/2014/main" id="{00000000-0008-0000-0F00-00008D05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8</xdr:row>
      <xdr:rowOff>0</xdr:rowOff>
    </xdr:from>
    <xdr:ext cx="123825" cy="1053041"/>
    <xdr:sp macro="" textlink="">
      <xdr:nvSpPr>
        <xdr:cNvPr id="1422" name="Text Box 208">
          <a:extLst>
            <a:ext uri="{FF2B5EF4-FFF2-40B4-BE49-F238E27FC236}">
              <a16:creationId xmlns:a16="http://schemas.microsoft.com/office/drawing/2014/main" id="{00000000-0008-0000-0F00-00008E05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8</xdr:row>
      <xdr:rowOff>0</xdr:rowOff>
    </xdr:from>
    <xdr:ext cx="123825" cy="1053041"/>
    <xdr:sp macro="" textlink="">
      <xdr:nvSpPr>
        <xdr:cNvPr id="1423" name="Text Box 209">
          <a:extLst>
            <a:ext uri="{FF2B5EF4-FFF2-40B4-BE49-F238E27FC236}">
              <a16:creationId xmlns:a16="http://schemas.microsoft.com/office/drawing/2014/main" id="{00000000-0008-0000-0F00-00008F05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8</xdr:row>
      <xdr:rowOff>0</xdr:rowOff>
    </xdr:from>
    <xdr:ext cx="123825" cy="1053041"/>
    <xdr:sp macro="" textlink="">
      <xdr:nvSpPr>
        <xdr:cNvPr id="1424" name="Text Box 210">
          <a:extLst>
            <a:ext uri="{FF2B5EF4-FFF2-40B4-BE49-F238E27FC236}">
              <a16:creationId xmlns:a16="http://schemas.microsoft.com/office/drawing/2014/main" id="{00000000-0008-0000-0F00-00009005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8</xdr:row>
      <xdr:rowOff>0</xdr:rowOff>
    </xdr:from>
    <xdr:ext cx="123825" cy="938741"/>
    <xdr:sp macro="" textlink="">
      <xdr:nvSpPr>
        <xdr:cNvPr id="1425" name="Text Box 211">
          <a:extLst>
            <a:ext uri="{FF2B5EF4-FFF2-40B4-BE49-F238E27FC236}">
              <a16:creationId xmlns:a16="http://schemas.microsoft.com/office/drawing/2014/main" id="{00000000-0008-0000-0F00-00009105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8</xdr:row>
      <xdr:rowOff>0</xdr:rowOff>
    </xdr:from>
    <xdr:ext cx="123825" cy="938741"/>
    <xdr:sp macro="" textlink="">
      <xdr:nvSpPr>
        <xdr:cNvPr id="1426" name="Text Box 212">
          <a:extLst>
            <a:ext uri="{FF2B5EF4-FFF2-40B4-BE49-F238E27FC236}">
              <a16:creationId xmlns:a16="http://schemas.microsoft.com/office/drawing/2014/main" id="{00000000-0008-0000-0F00-00009205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8</xdr:row>
      <xdr:rowOff>0</xdr:rowOff>
    </xdr:from>
    <xdr:ext cx="123825" cy="938741"/>
    <xdr:sp macro="" textlink="">
      <xdr:nvSpPr>
        <xdr:cNvPr id="1427" name="Text Box 213">
          <a:extLst>
            <a:ext uri="{FF2B5EF4-FFF2-40B4-BE49-F238E27FC236}">
              <a16:creationId xmlns:a16="http://schemas.microsoft.com/office/drawing/2014/main" id="{00000000-0008-0000-0F00-00009305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8</xdr:row>
      <xdr:rowOff>0</xdr:rowOff>
    </xdr:from>
    <xdr:ext cx="123825" cy="938741"/>
    <xdr:sp macro="" textlink="">
      <xdr:nvSpPr>
        <xdr:cNvPr id="1428" name="Text Box 214">
          <a:extLst>
            <a:ext uri="{FF2B5EF4-FFF2-40B4-BE49-F238E27FC236}">
              <a16:creationId xmlns:a16="http://schemas.microsoft.com/office/drawing/2014/main" id="{00000000-0008-0000-0F00-00009405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29" name="Text Box 197">
          <a:extLst>
            <a:ext uri="{FF2B5EF4-FFF2-40B4-BE49-F238E27FC236}">
              <a16:creationId xmlns:a16="http://schemas.microsoft.com/office/drawing/2014/main" id="{00000000-0008-0000-0F00-000095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30" name="Text Box 198">
          <a:extLst>
            <a:ext uri="{FF2B5EF4-FFF2-40B4-BE49-F238E27FC236}">
              <a16:creationId xmlns:a16="http://schemas.microsoft.com/office/drawing/2014/main" id="{00000000-0008-0000-0F00-000096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31" name="Text Box 199">
          <a:extLst>
            <a:ext uri="{FF2B5EF4-FFF2-40B4-BE49-F238E27FC236}">
              <a16:creationId xmlns:a16="http://schemas.microsoft.com/office/drawing/2014/main" id="{00000000-0008-0000-0F00-000097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32" name="Text Box 200">
          <a:extLst>
            <a:ext uri="{FF2B5EF4-FFF2-40B4-BE49-F238E27FC236}">
              <a16:creationId xmlns:a16="http://schemas.microsoft.com/office/drawing/2014/main" id="{00000000-0008-0000-0F00-000098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33" name="Text Box 201">
          <a:extLst>
            <a:ext uri="{FF2B5EF4-FFF2-40B4-BE49-F238E27FC236}">
              <a16:creationId xmlns:a16="http://schemas.microsoft.com/office/drawing/2014/main" id="{00000000-0008-0000-0F00-000099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34" name="Text Box 202">
          <a:extLst>
            <a:ext uri="{FF2B5EF4-FFF2-40B4-BE49-F238E27FC236}">
              <a16:creationId xmlns:a16="http://schemas.microsoft.com/office/drawing/2014/main" id="{00000000-0008-0000-0F00-00009A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35" name="Text Box 203">
          <a:extLst>
            <a:ext uri="{FF2B5EF4-FFF2-40B4-BE49-F238E27FC236}">
              <a16:creationId xmlns:a16="http://schemas.microsoft.com/office/drawing/2014/main" id="{00000000-0008-0000-0F00-00009B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36" name="Text Box 204">
          <a:extLst>
            <a:ext uri="{FF2B5EF4-FFF2-40B4-BE49-F238E27FC236}">
              <a16:creationId xmlns:a16="http://schemas.microsoft.com/office/drawing/2014/main" id="{00000000-0008-0000-0F00-00009C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14300" cy="945696"/>
    <xdr:sp macro="" textlink="">
      <xdr:nvSpPr>
        <xdr:cNvPr id="1437" name="Text Box 205">
          <a:extLst>
            <a:ext uri="{FF2B5EF4-FFF2-40B4-BE49-F238E27FC236}">
              <a16:creationId xmlns:a16="http://schemas.microsoft.com/office/drawing/2014/main" id="{00000000-0008-0000-0F00-00009D05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9</xdr:row>
      <xdr:rowOff>0</xdr:rowOff>
    </xdr:from>
    <xdr:ext cx="114300" cy="945696"/>
    <xdr:sp macro="" textlink="">
      <xdr:nvSpPr>
        <xdr:cNvPr id="1438" name="Text Box 206">
          <a:extLst>
            <a:ext uri="{FF2B5EF4-FFF2-40B4-BE49-F238E27FC236}">
              <a16:creationId xmlns:a16="http://schemas.microsoft.com/office/drawing/2014/main" id="{00000000-0008-0000-0F00-00009E05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9</xdr:row>
      <xdr:rowOff>0</xdr:rowOff>
    </xdr:from>
    <xdr:ext cx="123825" cy="945696"/>
    <xdr:sp macro="" textlink="">
      <xdr:nvSpPr>
        <xdr:cNvPr id="1439" name="Text Box 207">
          <a:extLst>
            <a:ext uri="{FF2B5EF4-FFF2-40B4-BE49-F238E27FC236}">
              <a16:creationId xmlns:a16="http://schemas.microsoft.com/office/drawing/2014/main" id="{00000000-0008-0000-0F00-00009F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9</xdr:row>
      <xdr:rowOff>0</xdr:rowOff>
    </xdr:from>
    <xdr:ext cx="123825" cy="945696"/>
    <xdr:sp macro="" textlink="">
      <xdr:nvSpPr>
        <xdr:cNvPr id="1440" name="Text Box 208">
          <a:extLst>
            <a:ext uri="{FF2B5EF4-FFF2-40B4-BE49-F238E27FC236}">
              <a16:creationId xmlns:a16="http://schemas.microsoft.com/office/drawing/2014/main" id="{00000000-0008-0000-0F00-0000A0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9</xdr:row>
      <xdr:rowOff>0</xdr:rowOff>
    </xdr:from>
    <xdr:ext cx="123825" cy="945696"/>
    <xdr:sp macro="" textlink="">
      <xdr:nvSpPr>
        <xdr:cNvPr id="1441" name="Text Box 209">
          <a:extLst>
            <a:ext uri="{FF2B5EF4-FFF2-40B4-BE49-F238E27FC236}">
              <a16:creationId xmlns:a16="http://schemas.microsoft.com/office/drawing/2014/main" id="{00000000-0008-0000-0F00-0000A1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9</xdr:row>
      <xdr:rowOff>0</xdr:rowOff>
    </xdr:from>
    <xdr:ext cx="123825" cy="945696"/>
    <xdr:sp macro="" textlink="">
      <xdr:nvSpPr>
        <xdr:cNvPr id="1442" name="Text Box 210">
          <a:extLst>
            <a:ext uri="{FF2B5EF4-FFF2-40B4-BE49-F238E27FC236}">
              <a16:creationId xmlns:a16="http://schemas.microsoft.com/office/drawing/2014/main" id="{00000000-0008-0000-0F00-0000A2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43" name="Text Box 211">
          <a:extLst>
            <a:ext uri="{FF2B5EF4-FFF2-40B4-BE49-F238E27FC236}">
              <a16:creationId xmlns:a16="http://schemas.microsoft.com/office/drawing/2014/main" id="{00000000-0008-0000-0F00-0000A3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44" name="Text Box 212">
          <a:extLst>
            <a:ext uri="{FF2B5EF4-FFF2-40B4-BE49-F238E27FC236}">
              <a16:creationId xmlns:a16="http://schemas.microsoft.com/office/drawing/2014/main" id="{00000000-0008-0000-0F00-0000A4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45" name="Text Box 213">
          <a:extLst>
            <a:ext uri="{FF2B5EF4-FFF2-40B4-BE49-F238E27FC236}">
              <a16:creationId xmlns:a16="http://schemas.microsoft.com/office/drawing/2014/main" id="{00000000-0008-0000-0F00-0000A5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46" name="Text Box 214">
          <a:extLst>
            <a:ext uri="{FF2B5EF4-FFF2-40B4-BE49-F238E27FC236}">
              <a16:creationId xmlns:a16="http://schemas.microsoft.com/office/drawing/2014/main" id="{00000000-0008-0000-0F00-0000A6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8</xdr:row>
      <xdr:rowOff>0</xdr:rowOff>
    </xdr:from>
    <xdr:ext cx="123825" cy="934660"/>
    <xdr:sp macro="" textlink="">
      <xdr:nvSpPr>
        <xdr:cNvPr id="1447" name="Text Box 197">
          <a:extLst>
            <a:ext uri="{FF2B5EF4-FFF2-40B4-BE49-F238E27FC236}">
              <a16:creationId xmlns:a16="http://schemas.microsoft.com/office/drawing/2014/main" id="{00000000-0008-0000-0F00-0000A7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8</xdr:row>
      <xdr:rowOff>0</xdr:rowOff>
    </xdr:from>
    <xdr:ext cx="123825" cy="934660"/>
    <xdr:sp macro="" textlink="">
      <xdr:nvSpPr>
        <xdr:cNvPr id="1448" name="Text Box 198">
          <a:extLst>
            <a:ext uri="{FF2B5EF4-FFF2-40B4-BE49-F238E27FC236}">
              <a16:creationId xmlns:a16="http://schemas.microsoft.com/office/drawing/2014/main" id="{00000000-0008-0000-0F00-0000A8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8</xdr:row>
      <xdr:rowOff>0</xdr:rowOff>
    </xdr:from>
    <xdr:ext cx="123825" cy="934660"/>
    <xdr:sp macro="" textlink="">
      <xdr:nvSpPr>
        <xdr:cNvPr id="1449" name="Text Box 199">
          <a:extLst>
            <a:ext uri="{FF2B5EF4-FFF2-40B4-BE49-F238E27FC236}">
              <a16:creationId xmlns:a16="http://schemas.microsoft.com/office/drawing/2014/main" id="{00000000-0008-0000-0F00-0000A9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8</xdr:row>
      <xdr:rowOff>0</xdr:rowOff>
    </xdr:from>
    <xdr:ext cx="123825" cy="934660"/>
    <xdr:sp macro="" textlink="">
      <xdr:nvSpPr>
        <xdr:cNvPr id="1450" name="Text Box 200">
          <a:extLst>
            <a:ext uri="{FF2B5EF4-FFF2-40B4-BE49-F238E27FC236}">
              <a16:creationId xmlns:a16="http://schemas.microsoft.com/office/drawing/2014/main" id="{00000000-0008-0000-0F00-0000AA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8</xdr:row>
      <xdr:rowOff>0</xdr:rowOff>
    </xdr:from>
    <xdr:ext cx="123825" cy="934660"/>
    <xdr:sp macro="" textlink="">
      <xdr:nvSpPr>
        <xdr:cNvPr id="1451" name="Text Box 201">
          <a:extLst>
            <a:ext uri="{FF2B5EF4-FFF2-40B4-BE49-F238E27FC236}">
              <a16:creationId xmlns:a16="http://schemas.microsoft.com/office/drawing/2014/main" id="{00000000-0008-0000-0F00-0000AB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8</xdr:row>
      <xdr:rowOff>0</xdr:rowOff>
    </xdr:from>
    <xdr:ext cx="123825" cy="934660"/>
    <xdr:sp macro="" textlink="">
      <xdr:nvSpPr>
        <xdr:cNvPr id="1452" name="Text Box 202">
          <a:extLst>
            <a:ext uri="{FF2B5EF4-FFF2-40B4-BE49-F238E27FC236}">
              <a16:creationId xmlns:a16="http://schemas.microsoft.com/office/drawing/2014/main" id="{00000000-0008-0000-0F00-0000AC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8</xdr:row>
      <xdr:rowOff>0</xdr:rowOff>
    </xdr:from>
    <xdr:ext cx="123825" cy="934660"/>
    <xdr:sp macro="" textlink="">
      <xdr:nvSpPr>
        <xdr:cNvPr id="1453" name="Text Box 203">
          <a:extLst>
            <a:ext uri="{FF2B5EF4-FFF2-40B4-BE49-F238E27FC236}">
              <a16:creationId xmlns:a16="http://schemas.microsoft.com/office/drawing/2014/main" id="{00000000-0008-0000-0F00-0000AD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8</xdr:row>
      <xdr:rowOff>0</xdr:rowOff>
    </xdr:from>
    <xdr:ext cx="123825" cy="934660"/>
    <xdr:sp macro="" textlink="">
      <xdr:nvSpPr>
        <xdr:cNvPr id="1454" name="Text Box 204">
          <a:extLst>
            <a:ext uri="{FF2B5EF4-FFF2-40B4-BE49-F238E27FC236}">
              <a16:creationId xmlns:a16="http://schemas.microsoft.com/office/drawing/2014/main" id="{00000000-0008-0000-0F00-0000AE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8</xdr:row>
      <xdr:rowOff>0</xdr:rowOff>
    </xdr:from>
    <xdr:ext cx="114300" cy="1048960"/>
    <xdr:sp macro="" textlink="">
      <xdr:nvSpPr>
        <xdr:cNvPr id="1455" name="Text Box 205">
          <a:extLst>
            <a:ext uri="{FF2B5EF4-FFF2-40B4-BE49-F238E27FC236}">
              <a16:creationId xmlns:a16="http://schemas.microsoft.com/office/drawing/2014/main" id="{00000000-0008-0000-0F00-0000AF050000}"/>
            </a:ext>
          </a:extLst>
        </xdr:cNvPr>
        <xdr:cNvSpPr txBox="1">
          <a:spLocks noChangeArrowheads="1"/>
        </xdr:cNvSpPr>
      </xdr:nvSpPr>
      <xdr:spPr bwMode="auto">
        <a:xfrm>
          <a:off x="3100917" y="4921250"/>
          <a:ext cx="114300" cy="1048960"/>
        </a:xfrm>
        <a:prstGeom prst="rect">
          <a:avLst/>
        </a:prstGeom>
        <a:noFill/>
        <a:ln w="9525">
          <a:noFill/>
          <a:miter lim="800000"/>
          <a:headEnd/>
          <a:tailEnd/>
        </a:ln>
      </xdr:spPr>
    </xdr:sp>
    <xdr:clientData/>
  </xdr:oneCellAnchor>
  <xdr:oneCellAnchor>
    <xdr:from>
      <xdr:col>4</xdr:col>
      <xdr:colOff>0</xdr:colOff>
      <xdr:row>8</xdr:row>
      <xdr:rowOff>0</xdr:rowOff>
    </xdr:from>
    <xdr:ext cx="114300" cy="1048960"/>
    <xdr:sp macro="" textlink="">
      <xdr:nvSpPr>
        <xdr:cNvPr id="1456" name="Text Box 206">
          <a:extLst>
            <a:ext uri="{FF2B5EF4-FFF2-40B4-BE49-F238E27FC236}">
              <a16:creationId xmlns:a16="http://schemas.microsoft.com/office/drawing/2014/main" id="{00000000-0008-0000-0F00-0000B0050000}"/>
            </a:ext>
          </a:extLst>
        </xdr:cNvPr>
        <xdr:cNvSpPr txBox="1">
          <a:spLocks noChangeArrowheads="1"/>
        </xdr:cNvSpPr>
      </xdr:nvSpPr>
      <xdr:spPr bwMode="auto">
        <a:xfrm>
          <a:off x="3100917" y="4921250"/>
          <a:ext cx="114300" cy="1048960"/>
        </a:xfrm>
        <a:prstGeom prst="rect">
          <a:avLst/>
        </a:prstGeom>
        <a:noFill/>
        <a:ln w="9525">
          <a:noFill/>
          <a:miter lim="800000"/>
          <a:headEnd/>
          <a:tailEnd/>
        </a:ln>
      </xdr:spPr>
    </xdr:sp>
    <xdr:clientData/>
  </xdr:oneCellAnchor>
  <xdr:oneCellAnchor>
    <xdr:from>
      <xdr:col>4</xdr:col>
      <xdr:colOff>0</xdr:colOff>
      <xdr:row>8</xdr:row>
      <xdr:rowOff>0</xdr:rowOff>
    </xdr:from>
    <xdr:ext cx="123825" cy="1048960"/>
    <xdr:sp macro="" textlink="">
      <xdr:nvSpPr>
        <xdr:cNvPr id="1457" name="Text Box 207">
          <a:extLst>
            <a:ext uri="{FF2B5EF4-FFF2-40B4-BE49-F238E27FC236}">
              <a16:creationId xmlns:a16="http://schemas.microsoft.com/office/drawing/2014/main" id="{00000000-0008-0000-0F00-0000B105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8</xdr:row>
      <xdr:rowOff>0</xdr:rowOff>
    </xdr:from>
    <xdr:ext cx="123825" cy="1048960"/>
    <xdr:sp macro="" textlink="">
      <xdr:nvSpPr>
        <xdr:cNvPr id="1458" name="Text Box 208">
          <a:extLst>
            <a:ext uri="{FF2B5EF4-FFF2-40B4-BE49-F238E27FC236}">
              <a16:creationId xmlns:a16="http://schemas.microsoft.com/office/drawing/2014/main" id="{00000000-0008-0000-0F00-0000B205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8</xdr:row>
      <xdr:rowOff>0</xdr:rowOff>
    </xdr:from>
    <xdr:ext cx="123825" cy="1048960"/>
    <xdr:sp macro="" textlink="">
      <xdr:nvSpPr>
        <xdr:cNvPr id="1459" name="Text Box 209">
          <a:extLst>
            <a:ext uri="{FF2B5EF4-FFF2-40B4-BE49-F238E27FC236}">
              <a16:creationId xmlns:a16="http://schemas.microsoft.com/office/drawing/2014/main" id="{00000000-0008-0000-0F00-0000B305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8</xdr:row>
      <xdr:rowOff>0</xdr:rowOff>
    </xdr:from>
    <xdr:ext cx="123825" cy="1048960"/>
    <xdr:sp macro="" textlink="">
      <xdr:nvSpPr>
        <xdr:cNvPr id="1460" name="Text Box 210">
          <a:extLst>
            <a:ext uri="{FF2B5EF4-FFF2-40B4-BE49-F238E27FC236}">
              <a16:creationId xmlns:a16="http://schemas.microsoft.com/office/drawing/2014/main" id="{00000000-0008-0000-0F00-0000B405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8</xdr:row>
      <xdr:rowOff>0</xdr:rowOff>
    </xdr:from>
    <xdr:ext cx="123825" cy="934660"/>
    <xdr:sp macro="" textlink="">
      <xdr:nvSpPr>
        <xdr:cNvPr id="1461" name="Text Box 211">
          <a:extLst>
            <a:ext uri="{FF2B5EF4-FFF2-40B4-BE49-F238E27FC236}">
              <a16:creationId xmlns:a16="http://schemas.microsoft.com/office/drawing/2014/main" id="{00000000-0008-0000-0F00-0000B5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8</xdr:row>
      <xdr:rowOff>0</xdr:rowOff>
    </xdr:from>
    <xdr:ext cx="123825" cy="934660"/>
    <xdr:sp macro="" textlink="">
      <xdr:nvSpPr>
        <xdr:cNvPr id="1462" name="Text Box 212">
          <a:extLst>
            <a:ext uri="{FF2B5EF4-FFF2-40B4-BE49-F238E27FC236}">
              <a16:creationId xmlns:a16="http://schemas.microsoft.com/office/drawing/2014/main" id="{00000000-0008-0000-0F00-0000B6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8</xdr:row>
      <xdr:rowOff>0</xdr:rowOff>
    </xdr:from>
    <xdr:ext cx="123825" cy="934660"/>
    <xdr:sp macro="" textlink="">
      <xdr:nvSpPr>
        <xdr:cNvPr id="1463" name="Text Box 213">
          <a:extLst>
            <a:ext uri="{FF2B5EF4-FFF2-40B4-BE49-F238E27FC236}">
              <a16:creationId xmlns:a16="http://schemas.microsoft.com/office/drawing/2014/main" id="{00000000-0008-0000-0F00-0000B7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8</xdr:row>
      <xdr:rowOff>0</xdr:rowOff>
    </xdr:from>
    <xdr:ext cx="123825" cy="934660"/>
    <xdr:sp macro="" textlink="">
      <xdr:nvSpPr>
        <xdr:cNvPr id="1464" name="Text Box 214">
          <a:extLst>
            <a:ext uri="{FF2B5EF4-FFF2-40B4-BE49-F238E27FC236}">
              <a16:creationId xmlns:a16="http://schemas.microsoft.com/office/drawing/2014/main" id="{00000000-0008-0000-0F00-0000B805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65" name="Text Box 197">
          <a:extLst>
            <a:ext uri="{FF2B5EF4-FFF2-40B4-BE49-F238E27FC236}">
              <a16:creationId xmlns:a16="http://schemas.microsoft.com/office/drawing/2014/main" id="{00000000-0008-0000-0F00-0000B9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66" name="Text Box 198">
          <a:extLst>
            <a:ext uri="{FF2B5EF4-FFF2-40B4-BE49-F238E27FC236}">
              <a16:creationId xmlns:a16="http://schemas.microsoft.com/office/drawing/2014/main" id="{00000000-0008-0000-0F00-0000BA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67" name="Text Box 199">
          <a:extLst>
            <a:ext uri="{FF2B5EF4-FFF2-40B4-BE49-F238E27FC236}">
              <a16:creationId xmlns:a16="http://schemas.microsoft.com/office/drawing/2014/main" id="{00000000-0008-0000-0F00-0000BB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68" name="Text Box 200">
          <a:extLst>
            <a:ext uri="{FF2B5EF4-FFF2-40B4-BE49-F238E27FC236}">
              <a16:creationId xmlns:a16="http://schemas.microsoft.com/office/drawing/2014/main" id="{00000000-0008-0000-0F00-0000BC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69" name="Text Box 201">
          <a:extLst>
            <a:ext uri="{FF2B5EF4-FFF2-40B4-BE49-F238E27FC236}">
              <a16:creationId xmlns:a16="http://schemas.microsoft.com/office/drawing/2014/main" id="{00000000-0008-0000-0F00-0000BD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70" name="Text Box 202">
          <a:extLst>
            <a:ext uri="{FF2B5EF4-FFF2-40B4-BE49-F238E27FC236}">
              <a16:creationId xmlns:a16="http://schemas.microsoft.com/office/drawing/2014/main" id="{00000000-0008-0000-0F00-0000BE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71" name="Text Box 203">
          <a:extLst>
            <a:ext uri="{FF2B5EF4-FFF2-40B4-BE49-F238E27FC236}">
              <a16:creationId xmlns:a16="http://schemas.microsoft.com/office/drawing/2014/main" id="{00000000-0008-0000-0F00-0000BF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72" name="Text Box 204">
          <a:extLst>
            <a:ext uri="{FF2B5EF4-FFF2-40B4-BE49-F238E27FC236}">
              <a16:creationId xmlns:a16="http://schemas.microsoft.com/office/drawing/2014/main" id="{00000000-0008-0000-0F00-0000C0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14300" cy="945696"/>
    <xdr:sp macro="" textlink="">
      <xdr:nvSpPr>
        <xdr:cNvPr id="1473" name="Text Box 205">
          <a:extLst>
            <a:ext uri="{FF2B5EF4-FFF2-40B4-BE49-F238E27FC236}">
              <a16:creationId xmlns:a16="http://schemas.microsoft.com/office/drawing/2014/main" id="{00000000-0008-0000-0F00-0000C105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9</xdr:row>
      <xdr:rowOff>0</xdr:rowOff>
    </xdr:from>
    <xdr:ext cx="114300" cy="945696"/>
    <xdr:sp macro="" textlink="">
      <xdr:nvSpPr>
        <xdr:cNvPr id="1474" name="Text Box 206">
          <a:extLst>
            <a:ext uri="{FF2B5EF4-FFF2-40B4-BE49-F238E27FC236}">
              <a16:creationId xmlns:a16="http://schemas.microsoft.com/office/drawing/2014/main" id="{00000000-0008-0000-0F00-0000C205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9</xdr:row>
      <xdr:rowOff>0</xdr:rowOff>
    </xdr:from>
    <xdr:ext cx="123825" cy="945696"/>
    <xdr:sp macro="" textlink="">
      <xdr:nvSpPr>
        <xdr:cNvPr id="1475" name="Text Box 207">
          <a:extLst>
            <a:ext uri="{FF2B5EF4-FFF2-40B4-BE49-F238E27FC236}">
              <a16:creationId xmlns:a16="http://schemas.microsoft.com/office/drawing/2014/main" id="{00000000-0008-0000-0F00-0000C3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9</xdr:row>
      <xdr:rowOff>0</xdr:rowOff>
    </xdr:from>
    <xdr:ext cx="123825" cy="945696"/>
    <xdr:sp macro="" textlink="">
      <xdr:nvSpPr>
        <xdr:cNvPr id="1476" name="Text Box 208">
          <a:extLst>
            <a:ext uri="{FF2B5EF4-FFF2-40B4-BE49-F238E27FC236}">
              <a16:creationId xmlns:a16="http://schemas.microsoft.com/office/drawing/2014/main" id="{00000000-0008-0000-0F00-0000C4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9</xdr:row>
      <xdr:rowOff>0</xdr:rowOff>
    </xdr:from>
    <xdr:ext cx="123825" cy="945696"/>
    <xdr:sp macro="" textlink="">
      <xdr:nvSpPr>
        <xdr:cNvPr id="1477" name="Text Box 209">
          <a:extLst>
            <a:ext uri="{FF2B5EF4-FFF2-40B4-BE49-F238E27FC236}">
              <a16:creationId xmlns:a16="http://schemas.microsoft.com/office/drawing/2014/main" id="{00000000-0008-0000-0F00-0000C5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9</xdr:row>
      <xdr:rowOff>0</xdr:rowOff>
    </xdr:from>
    <xdr:ext cx="123825" cy="945696"/>
    <xdr:sp macro="" textlink="">
      <xdr:nvSpPr>
        <xdr:cNvPr id="1478" name="Text Box 210">
          <a:extLst>
            <a:ext uri="{FF2B5EF4-FFF2-40B4-BE49-F238E27FC236}">
              <a16:creationId xmlns:a16="http://schemas.microsoft.com/office/drawing/2014/main" id="{00000000-0008-0000-0F00-0000C605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79" name="Text Box 211">
          <a:extLst>
            <a:ext uri="{FF2B5EF4-FFF2-40B4-BE49-F238E27FC236}">
              <a16:creationId xmlns:a16="http://schemas.microsoft.com/office/drawing/2014/main" id="{00000000-0008-0000-0F00-0000C7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80" name="Text Box 212">
          <a:extLst>
            <a:ext uri="{FF2B5EF4-FFF2-40B4-BE49-F238E27FC236}">
              <a16:creationId xmlns:a16="http://schemas.microsoft.com/office/drawing/2014/main" id="{00000000-0008-0000-0F00-0000C8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81" name="Text Box 213">
          <a:extLst>
            <a:ext uri="{FF2B5EF4-FFF2-40B4-BE49-F238E27FC236}">
              <a16:creationId xmlns:a16="http://schemas.microsoft.com/office/drawing/2014/main" id="{00000000-0008-0000-0F00-0000C9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831396"/>
    <xdr:sp macro="" textlink="">
      <xdr:nvSpPr>
        <xdr:cNvPr id="1482" name="Text Box 214">
          <a:extLst>
            <a:ext uri="{FF2B5EF4-FFF2-40B4-BE49-F238E27FC236}">
              <a16:creationId xmlns:a16="http://schemas.microsoft.com/office/drawing/2014/main" id="{00000000-0008-0000-0F00-0000CA05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7</xdr:col>
      <xdr:colOff>0</xdr:colOff>
      <xdr:row>8</xdr:row>
      <xdr:rowOff>0</xdr:rowOff>
    </xdr:from>
    <xdr:ext cx="123825" cy="940252"/>
    <xdr:sp macro="" textlink="">
      <xdr:nvSpPr>
        <xdr:cNvPr id="1483" name="Text Box 197">
          <a:extLst>
            <a:ext uri="{FF2B5EF4-FFF2-40B4-BE49-F238E27FC236}">
              <a16:creationId xmlns:a16="http://schemas.microsoft.com/office/drawing/2014/main" id="{00000000-0008-0000-0F00-0000CB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8</xdr:row>
      <xdr:rowOff>0</xdr:rowOff>
    </xdr:from>
    <xdr:ext cx="123825" cy="940252"/>
    <xdr:sp macro="" textlink="">
      <xdr:nvSpPr>
        <xdr:cNvPr id="1484" name="Text Box 198">
          <a:extLst>
            <a:ext uri="{FF2B5EF4-FFF2-40B4-BE49-F238E27FC236}">
              <a16:creationId xmlns:a16="http://schemas.microsoft.com/office/drawing/2014/main" id="{00000000-0008-0000-0F00-0000CC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8</xdr:row>
      <xdr:rowOff>0</xdr:rowOff>
    </xdr:from>
    <xdr:ext cx="123825" cy="940252"/>
    <xdr:sp macro="" textlink="">
      <xdr:nvSpPr>
        <xdr:cNvPr id="1485" name="Text Box 199">
          <a:extLst>
            <a:ext uri="{FF2B5EF4-FFF2-40B4-BE49-F238E27FC236}">
              <a16:creationId xmlns:a16="http://schemas.microsoft.com/office/drawing/2014/main" id="{00000000-0008-0000-0F00-0000CD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8</xdr:row>
      <xdr:rowOff>0</xdr:rowOff>
    </xdr:from>
    <xdr:ext cx="123825" cy="940252"/>
    <xdr:sp macro="" textlink="">
      <xdr:nvSpPr>
        <xdr:cNvPr id="1486" name="Text Box 200">
          <a:extLst>
            <a:ext uri="{FF2B5EF4-FFF2-40B4-BE49-F238E27FC236}">
              <a16:creationId xmlns:a16="http://schemas.microsoft.com/office/drawing/2014/main" id="{00000000-0008-0000-0F00-0000CE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8</xdr:row>
      <xdr:rowOff>0</xdr:rowOff>
    </xdr:from>
    <xdr:ext cx="123825" cy="940252"/>
    <xdr:sp macro="" textlink="">
      <xdr:nvSpPr>
        <xdr:cNvPr id="1487" name="Text Box 201">
          <a:extLst>
            <a:ext uri="{FF2B5EF4-FFF2-40B4-BE49-F238E27FC236}">
              <a16:creationId xmlns:a16="http://schemas.microsoft.com/office/drawing/2014/main" id="{00000000-0008-0000-0F00-0000CF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8</xdr:row>
      <xdr:rowOff>0</xdr:rowOff>
    </xdr:from>
    <xdr:ext cx="123825" cy="940252"/>
    <xdr:sp macro="" textlink="">
      <xdr:nvSpPr>
        <xdr:cNvPr id="1488" name="Text Box 202">
          <a:extLst>
            <a:ext uri="{FF2B5EF4-FFF2-40B4-BE49-F238E27FC236}">
              <a16:creationId xmlns:a16="http://schemas.microsoft.com/office/drawing/2014/main" id="{00000000-0008-0000-0F00-0000D0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8</xdr:row>
      <xdr:rowOff>0</xdr:rowOff>
    </xdr:from>
    <xdr:ext cx="123825" cy="940252"/>
    <xdr:sp macro="" textlink="">
      <xdr:nvSpPr>
        <xdr:cNvPr id="1489" name="Text Box 203">
          <a:extLst>
            <a:ext uri="{FF2B5EF4-FFF2-40B4-BE49-F238E27FC236}">
              <a16:creationId xmlns:a16="http://schemas.microsoft.com/office/drawing/2014/main" id="{00000000-0008-0000-0F00-0000D1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8</xdr:row>
      <xdr:rowOff>0</xdr:rowOff>
    </xdr:from>
    <xdr:ext cx="123825" cy="940252"/>
    <xdr:sp macro="" textlink="">
      <xdr:nvSpPr>
        <xdr:cNvPr id="1490" name="Text Box 204">
          <a:extLst>
            <a:ext uri="{FF2B5EF4-FFF2-40B4-BE49-F238E27FC236}">
              <a16:creationId xmlns:a16="http://schemas.microsoft.com/office/drawing/2014/main" id="{00000000-0008-0000-0F00-0000D2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8</xdr:row>
      <xdr:rowOff>0</xdr:rowOff>
    </xdr:from>
    <xdr:ext cx="114300" cy="1054552"/>
    <xdr:sp macro="" textlink="">
      <xdr:nvSpPr>
        <xdr:cNvPr id="1491" name="Text Box 205">
          <a:extLst>
            <a:ext uri="{FF2B5EF4-FFF2-40B4-BE49-F238E27FC236}">
              <a16:creationId xmlns:a16="http://schemas.microsoft.com/office/drawing/2014/main" id="{00000000-0008-0000-0F00-0000D3050000}"/>
            </a:ext>
          </a:extLst>
        </xdr:cNvPr>
        <xdr:cNvSpPr txBox="1">
          <a:spLocks noChangeArrowheads="1"/>
        </xdr:cNvSpPr>
      </xdr:nvSpPr>
      <xdr:spPr bwMode="auto">
        <a:xfrm>
          <a:off x="4286250" y="4921250"/>
          <a:ext cx="114300" cy="1054552"/>
        </a:xfrm>
        <a:prstGeom prst="rect">
          <a:avLst/>
        </a:prstGeom>
        <a:noFill/>
        <a:ln w="9525">
          <a:noFill/>
          <a:miter lim="800000"/>
          <a:headEnd/>
          <a:tailEnd/>
        </a:ln>
      </xdr:spPr>
    </xdr:sp>
    <xdr:clientData/>
  </xdr:oneCellAnchor>
  <xdr:oneCellAnchor>
    <xdr:from>
      <xdr:col>7</xdr:col>
      <xdr:colOff>0</xdr:colOff>
      <xdr:row>8</xdr:row>
      <xdr:rowOff>0</xdr:rowOff>
    </xdr:from>
    <xdr:ext cx="114300" cy="1054552"/>
    <xdr:sp macro="" textlink="">
      <xdr:nvSpPr>
        <xdr:cNvPr id="1492" name="Text Box 206">
          <a:extLst>
            <a:ext uri="{FF2B5EF4-FFF2-40B4-BE49-F238E27FC236}">
              <a16:creationId xmlns:a16="http://schemas.microsoft.com/office/drawing/2014/main" id="{00000000-0008-0000-0F00-0000D4050000}"/>
            </a:ext>
          </a:extLst>
        </xdr:cNvPr>
        <xdr:cNvSpPr txBox="1">
          <a:spLocks noChangeArrowheads="1"/>
        </xdr:cNvSpPr>
      </xdr:nvSpPr>
      <xdr:spPr bwMode="auto">
        <a:xfrm>
          <a:off x="4286250" y="4921250"/>
          <a:ext cx="114300" cy="1054552"/>
        </a:xfrm>
        <a:prstGeom prst="rect">
          <a:avLst/>
        </a:prstGeom>
        <a:noFill/>
        <a:ln w="9525">
          <a:noFill/>
          <a:miter lim="800000"/>
          <a:headEnd/>
          <a:tailEnd/>
        </a:ln>
      </xdr:spPr>
    </xdr:sp>
    <xdr:clientData/>
  </xdr:oneCellAnchor>
  <xdr:oneCellAnchor>
    <xdr:from>
      <xdr:col>7</xdr:col>
      <xdr:colOff>0</xdr:colOff>
      <xdr:row>8</xdr:row>
      <xdr:rowOff>0</xdr:rowOff>
    </xdr:from>
    <xdr:ext cx="123825" cy="1054552"/>
    <xdr:sp macro="" textlink="">
      <xdr:nvSpPr>
        <xdr:cNvPr id="1493" name="Text Box 207">
          <a:extLst>
            <a:ext uri="{FF2B5EF4-FFF2-40B4-BE49-F238E27FC236}">
              <a16:creationId xmlns:a16="http://schemas.microsoft.com/office/drawing/2014/main" id="{00000000-0008-0000-0F00-0000D505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8</xdr:row>
      <xdr:rowOff>0</xdr:rowOff>
    </xdr:from>
    <xdr:ext cx="123825" cy="1054552"/>
    <xdr:sp macro="" textlink="">
      <xdr:nvSpPr>
        <xdr:cNvPr id="1494" name="Text Box 208">
          <a:extLst>
            <a:ext uri="{FF2B5EF4-FFF2-40B4-BE49-F238E27FC236}">
              <a16:creationId xmlns:a16="http://schemas.microsoft.com/office/drawing/2014/main" id="{00000000-0008-0000-0F00-0000D605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8</xdr:row>
      <xdr:rowOff>0</xdr:rowOff>
    </xdr:from>
    <xdr:ext cx="123825" cy="1054552"/>
    <xdr:sp macro="" textlink="">
      <xdr:nvSpPr>
        <xdr:cNvPr id="1495" name="Text Box 209">
          <a:extLst>
            <a:ext uri="{FF2B5EF4-FFF2-40B4-BE49-F238E27FC236}">
              <a16:creationId xmlns:a16="http://schemas.microsoft.com/office/drawing/2014/main" id="{00000000-0008-0000-0F00-0000D705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8</xdr:row>
      <xdr:rowOff>0</xdr:rowOff>
    </xdr:from>
    <xdr:ext cx="123825" cy="1054552"/>
    <xdr:sp macro="" textlink="">
      <xdr:nvSpPr>
        <xdr:cNvPr id="1496" name="Text Box 210">
          <a:extLst>
            <a:ext uri="{FF2B5EF4-FFF2-40B4-BE49-F238E27FC236}">
              <a16:creationId xmlns:a16="http://schemas.microsoft.com/office/drawing/2014/main" id="{00000000-0008-0000-0F00-0000D805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8</xdr:row>
      <xdr:rowOff>0</xdr:rowOff>
    </xdr:from>
    <xdr:ext cx="123825" cy="940252"/>
    <xdr:sp macro="" textlink="">
      <xdr:nvSpPr>
        <xdr:cNvPr id="1497" name="Text Box 211">
          <a:extLst>
            <a:ext uri="{FF2B5EF4-FFF2-40B4-BE49-F238E27FC236}">
              <a16:creationId xmlns:a16="http://schemas.microsoft.com/office/drawing/2014/main" id="{00000000-0008-0000-0F00-0000D9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8</xdr:row>
      <xdr:rowOff>0</xdr:rowOff>
    </xdr:from>
    <xdr:ext cx="123825" cy="940252"/>
    <xdr:sp macro="" textlink="">
      <xdr:nvSpPr>
        <xdr:cNvPr id="1498" name="Text Box 212">
          <a:extLst>
            <a:ext uri="{FF2B5EF4-FFF2-40B4-BE49-F238E27FC236}">
              <a16:creationId xmlns:a16="http://schemas.microsoft.com/office/drawing/2014/main" id="{00000000-0008-0000-0F00-0000DA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8</xdr:row>
      <xdr:rowOff>0</xdr:rowOff>
    </xdr:from>
    <xdr:ext cx="123825" cy="940252"/>
    <xdr:sp macro="" textlink="">
      <xdr:nvSpPr>
        <xdr:cNvPr id="1499" name="Text Box 213">
          <a:extLst>
            <a:ext uri="{FF2B5EF4-FFF2-40B4-BE49-F238E27FC236}">
              <a16:creationId xmlns:a16="http://schemas.microsoft.com/office/drawing/2014/main" id="{00000000-0008-0000-0F00-0000DB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8</xdr:row>
      <xdr:rowOff>0</xdr:rowOff>
    </xdr:from>
    <xdr:ext cx="123825" cy="940252"/>
    <xdr:sp macro="" textlink="">
      <xdr:nvSpPr>
        <xdr:cNvPr id="1500" name="Text Box 214">
          <a:extLst>
            <a:ext uri="{FF2B5EF4-FFF2-40B4-BE49-F238E27FC236}">
              <a16:creationId xmlns:a16="http://schemas.microsoft.com/office/drawing/2014/main" id="{00000000-0008-0000-0F00-0000DC05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01" name="Text Box 197">
          <a:extLst>
            <a:ext uri="{FF2B5EF4-FFF2-40B4-BE49-F238E27FC236}">
              <a16:creationId xmlns:a16="http://schemas.microsoft.com/office/drawing/2014/main" id="{00000000-0008-0000-0F00-0000DD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02" name="Text Box 198">
          <a:extLst>
            <a:ext uri="{FF2B5EF4-FFF2-40B4-BE49-F238E27FC236}">
              <a16:creationId xmlns:a16="http://schemas.microsoft.com/office/drawing/2014/main" id="{00000000-0008-0000-0F00-0000DE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03" name="Text Box 199">
          <a:extLst>
            <a:ext uri="{FF2B5EF4-FFF2-40B4-BE49-F238E27FC236}">
              <a16:creationId xmlns:a16="http://schemas.microsoft.com/office/drawing/2014/main" id="{00000000-0008-0000-0F00-0000DF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04" name="Text Box 200">
          <a:extLst>
            <a:ext uri="{FF2B5EF4-FFF2-40B4-BE49-F238E27FC236}">
              <a16:creationId xmlns:a16="http://schemas.microsoft.com/office/drawing/2014/main" id="{00000000-0008-0000-0F00-0000E0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05" name="Text Box 201">
          <a:extLst>
            <a:ext uri="{FF2B5EF4-FFF2-40B4-BE49-F238E27FC236}">
              <a16:creationId xmlns:a16="http://schemas.microsoft.com/office/drawing/2014/main" id="{00000000-0008-0000-0F00-0000E1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06" name="Text Box 202">
          <a:extLst>
            <a:ext uri="{FF2B5EF4-FFF2-40B4-BE49-F238E27FC236}">
              <a16:creationId xmlns:a16="http://schemas.microsoft.com/office/drawing/2014/main" id="{00000000-0008-0000-0F00-0000E2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07" name="Text Box 203">
          <a:extLst>
            <a:ext uri="{FF2B5EF4-FFF2-40B4-BE49-F238E27FC236}">
              <a16:creationId xmlns:a16="http://schemas.microsoft.com/office/drawing/2014/main" id="{00000000-0008-0000-0F00-0000E3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08" name="Text Box 204">
          <a:extLst>
            <a:ext uri="{FF2B5EF4-FFF2-40B4-BE49-F238E27FC236}">
              <a16:creationId xmlns:a16="http://schemas.microsoft.com/office/drawing/2014/main" id="{00000000-0008-0000-0F00-0000E4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14300" cy="945696"/>
    <xdr:sp macro="" textlink="">
      <xdr:nvSpPr>
        <xdr:cNvPr id="1509" name="Text Box 205">
          <a:extLst>
            <a:ext uri="{FF2B5EF4-FFF2-40B4-BE49-F238E27FC236}">
              <a16:creationId xmlns:a16="http://schemas.microsoft.com/office/drawing/2014/main" id="{00000000-0008-0000-0F00-0000E505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9</xdr:row>
      <xdr:rowOff>0</xdr:rowOff>
    </xdr:from>
    <xdr:ext cx="114300" cy="945696"/>
    <xdr:sp macro="" textlink="">
      <xdr:nvSpPr>
        <xdr:cNvPr id="1510" name="Text Box 206">
          <a:extLst>
            <a:ext uri="{FF2B5EF4-FFF2-40B4-BE49-F238E27FC236}">
              <a16:creationId xmlns:a16="http://schemas.microsoft.com/office/drawing/2014/main" id="{00000000-0008-0000-0F00-0000E605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9</xdr:row>
      <xdr:rowOff>0</xdr:rowOff>
    </xdr:from>
    <xdr:ext cx="123825" cy="945696"/>
    <xdr:sp macro="" textlink="">
      <xdr:nvSpPr>
        <xdr:cNvPr id="1511" name="Text Box 207">
          <a:extLst>
            <a:ext uri="{FF2B5EF4-FFF2-40B4-BE49-F238E27FC236}">
              <a16:creationId xmlns:a16="http://schemas.microsoft.com/office/drawing/2014/main" id="{00000000-0008-0000-0F00-0000E705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9</xdr:row>
      <xdr:rowOff>0</xdr:rowOff>
    </xdr:from>
    <xdr:ext cx="123825" cy="945696"/>
    <xdr:sp macro="" textlink="">
      <xdr:nvSpPr>
        <xdr:cNvPr id="1512" name="Text Box 208">
          <a:extLst>
            <a:ext uri="{FF2B5EF4-FFF2-40B4-BE49-F238E27FC236}">
              <a16:creationId xmlns:a16="http://schemas.microsoft.com/office/drawing/2014/main" id="{00000000-0008-0000-0F00-0000E805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9</xdr:row>
      <xdr:rowOff>0</xdr:rowOff>
    </xdr:from>
    <xdr:ext cx="123825" cy="945696"/>
    <xdr:sp macro="" textlink="">
      <xdr:nvSpPr>
        <xdr:cNvPr id="1513" name="Text Box 209">
          <a:extLst>
            <a:ext uri="{FF2B5EF4-FFF2-40B4-BE49-F238E27FC236}">
              <a16:creationId xmlns:a16="http://schemas.microsoft.com/office/drawing/2014/main" id="{00000000-0008-0000-0F00-0000E905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9</xdr:row>
      <xdr:rowOff>0</xdr:rowOff>
    </xdr:from>
    <xdr:ext cx="123825" cy="945696"/>
    <xdr:sp macro="" textlink="">
      <xdr:nvSpPr>
        <xdr:cNvPr id="1514" name="Text Box 210">
          <a:extLst>
            <a:ext uri="{FF2B5EF4-FFF2-40B4-BE49-F238E27FC236}">
              <a16:creationId xmlns:a16="http://schemas.microsoft.com/office/drawing/2014/main" id="{00000000-0008-0000-0F00-0000EA05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15" name="Text Box 211">
          <a:extLst>
            <a:ext uri="{FF2B5EF4-FFF2-40B4-BE49-F238E27FC236}">
              <a16:creationId xmlns:a16="http://schemas.microsoft.com/office/drawing/2014/main" id="{00000000-0008-0000-0F00-0000EB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16" name="Text Box 212">
          <a:extLst>
            <a:ext uri="{FF2B5EF4-FFF2-40B4-BE49-F238E27FC236}">
              <a16:creationId xmlns:a16="http://schemas.microsoft.com/office/drawing/2014/main" id="{00000000-0008-0000-0F00-0000EC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17" name="Text Box 213">
          <a:extLst>
            <a:ext uri="{FF2B5EF4-FFF2-40B4-BE49-F238E27FC236}">
              <a16:creationId xmlns:a16="http://schemas.microsoft.com/office/drawing/2014/main" id="{00000000-0008-0000-0F00-0000ED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18" name="Text Box 214">
          <a:extLst>
            <a:ext uri="{FF2B5EF4-FFF2-40B4-BE49-F238E27FC236}">
              <a16:creationId xmlns:a16="http://schemas.microsoft.com/office/drawing/2014/main" id="{00000000-0008-0000-0F00-0000EE05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8</xdr:row>
      <xdr:rowOff>0</xdr:rowOff>
    </xdr:from>
    <xdr:ext cx="123825" cy="936171"/>
    <xdr:sp macro="" textlink="">
      <xdr:nvSpPr>
        <xdr:cNvPr id="1519" name="Text Box 197">
          <a:extLst>
            <a:ext uri="{FF2B5EF4-FFF2-40B4-BE49-F238E27FC236}">
              <a16:creationId xmlns:a16="http://schemas.microsoft.com/office/drawing/2014/main" id="{00000000-0008-0000-0F00-0000EF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8</xdr:row>
      <xdr:rowOff>0</xdr:rowOff>
    </xdr:from>
    <xdr:ext cx="123825" cy="936171"/>
    <xdr:sp macro="" textlink="">
      <xdr:nvSpPr>
        <xdr:cNvPr id="1520" name="Text Box 198">
          <a:extLst>
            <a:ext uri="{FF2B5EF4-FFF2-40B4-BE49-F238E27FC236}">
              <a16:creationId xmlns:a16="http://schemas.microsoft.com/office/drawing/2014/main" id="{00000000-0008-0000-0F00-0000F0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8</xdr:row>
      <xdr:rowOff>0</xdr:rowOff>
    </xdr:from>
    <xdr:ext cx="123825" cy="936171"/>
    <xdr:sp macro="" textlink="">
      <xdr:nvSpPr>
        <xdr:cNvPr id="1521" name="Text Box 199">
          <a:extLst>
            <a:ext uri="{FF2B5EF4-FFF2-40B4-BE49-F238E27FC236}">
              <a16:creationId xmlns:a16="http://schemas.microsoft.com/office/drawing/2014/main" id="{00000000-0008-0000-0F00-0000F1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8</xdr:row>
      <xdr:rowOff>0</xdr:rowOff>
    </xdr:from>
    <xdr:ext cx="123825" cy="936171"/>
    <xdr:sp macro="" textlink="">
      <xdr:nvSpPr>
        <xdr:cNvPr id="1522" name="Text Box 200">
          <a:extLst>
            <a:ext uri="{FF2B5EF4-FFF2-40B4-BE49-F238E27FC236}">
              <a16:creationId xmlns:a16="http://schemas.microsoft.com/office/drawing/2014/main" id="{00000000-0008-0000-0F00-0000F2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8</xdr:row>
      <xdr:rowOff>0</xdr:rowOff>
    </xdr:from>
    <xdr:ext cx="123825" cy="936171"/>
    <xdr:sp macro="" textlink="">
      <xdr:nvSpPr>
        <xdr:cNvPr id="1523" name="Text Box 201">
          <a:extLst>
            <a:ext uri="{FF2B5EF4-FFF2-40B4-BE49-F238E27FC236}">
              <a16:creationId xmlns:a16="http://schemas.microsoft.com/office/drawing/2014/main" id="{00000000-0008-0000-0F00-0000F3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8</xdr:row>
      <xdr:rowOff>0</xdr:rowOff>
    </xdr:from>
    <xdr:ext cx="123825" cy="936171"/>
    <xdr:sp macro="" textlink="">
      <xdr:nvSpPr>
        <xdr:cNvPr id="1524" name="Text Box 202">
          <a:extLst>
            <a:ext uri="{FF2B5EF4-FFF2-40B4-BE49-F238E27FC236}">
              <a16:creationId xmlns:a16="http://schemas.microsoft.com/office/drawing/2014/main" id="{00000000-0008-0000-0F00-0000F4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8</xdr:row>
      <xdr:rowOff>0</xdr:rowOff>
    </xdr:from>
    <xdr:ext cx="123825" cy="936171"/>
    <xdr:sp macro="" textlink="">
      <xdr:nvSpPr>
        <xdr:cNvPr id="1525" name="Text Box 203">
          <a:extLst>
            <a:ext uri="{FF2B5EF4-FFF2-40B4-BE49-F238E27FC236}">
              <a16:creationId xmlns:a16="http://schemas.microsoft.com/office/drawing/2014/main" id="{00000000-0008-0000-0F00-0000F5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8</xdr:row>
      <xdr:rowOff>0</xdr:rowOff>
    </xdr:from>
    <xdr:ext cx="123825" cy="936171"/>
    <xdr:sp macro="" textlink="">
      <xdr:nvSpPr>
        <xdr:cNvPr id="1526" name="Text Box 204">
          <a:extLst>
            <a:ext uri="{FF2B5EF4-FFF2-40B4-BE49-F238E27FC236}">
              <a16:creationId xmlns:a16="http://schemas.microsoft.com/office/drawing/2014/main" id="{00000000-0008-0000-0F00-0000F6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8</xdr:row>
      <xdr:rowOff>0</xdr:rowOff>
    </xdr:from>
    <xdr:ext cx="114300" cy="1050471"/>
    <xdr:sp macro="" textlink="">
      <xdr:nvSpPr>
        <xdr:cNvPr id="1527" name="Text Box 205">
          <a:extLst>
            <a:ext uri="{FF2B5EF4-FFF2-40B4-BE49-F238E27FC236}">
              <a16:creationId xmlns:a16="http://schemas.microsoft.com/office/drawing/2014/main" id="{00000000-0008-0000-0F00-0000F7050000}"/>
            </a:ext>
          </a:extLst>
        </xdr:cNvPr>
        <xdr:cNvSpPr txBox="1">
          <a:spLocks noChangeArrowheads="1"/>
        </xdr:cNvSpPr>
      </xdr:nvSpPr>
      <xdr:spPr bwMode="auto">
        <a:xfrm>
          <a:off x="4286250" y="4921250"/>
          <a:ext cx="114300" cy="1050471"/>
        </a:xfrm>
        <a:prstGeom prst="rect">
          <a:avLst/>
        </a:prstGeom>
        <a:noFill/>
        <a:ln w="9525">
          <a:noFill/>
          <a:miter lim="800000"/>
          <a:headEnd/>
          <a:tailEnd/>
        </a:ln>
      </xdr:spPr>
    </xdr:sp>
    <xdr:clientData/>
  </xdr:oneCellAnchor>
  <xdr:oneCellAnchor>
    <xdr:from>
      <xdr:col>7</xdr:col>
      <xdr:colOff>0</xdr:colOff>
      <xdr:row>8</xdr:row>
      <xdr:rowOff>0</xdr:rowOff>
    </xdr:from>
    <xdr:ext cx="114300" cy="1050471"/>
    <xdr:sp macro="" textlink="">
      <xdr:nvSpPr>
        <xdr:cNvPr id="1528" name="Text Box 206">
          <a:extLst>
            <a:ext uri="{FF2B5EF4-FFF2-40B4-BE49-F238E27FC236}">
              <a16:creationId xmlns:a16="http://schemas.microsoft.com/office/drawing/2014/main" id="{00000000-0008-0000-0F00-0000F8050000}"/>
            </a:ext>
          </a:extLst>
        </xdr:cNvPr>
        <xdr:cNvSpPr txBox="1">
          <a:spLocks noChangeArrowheads="1"/>
        </xdr:cNvSpPr>
      </xdr:nvSpPr>
      <xdr:spPr bwMode="auto">
        <a:xfrm>
          <a:off x="4286250" y="4921250"/>
          <a:ext cx="114300" cy="1050471"/>
        </a:xfrm>
        <a:prstGeom prst="rect">
          <a:avLst/>
        </a:prstGeom>
        <a:noFill/>
        <a:ln w="9525">
          <a:noFill/>
          <a:miter lim="800000"/>
          <a:headEnd/>
          <a:tailEnd/>
        </a:ln>
      </xdr:spPr>
    </xdr:sp>
    <xdr:clientData/>
  </xdr:oneCellAnchor>
  <xdr:oneCellAnchor>
    <xdr:from>
      <xdr:col>7</xdr:col>
      <xdr:colOff>0</xdr:colOff>
      <xdr:row>8</xdr:row>
      <xdr:rowOff>0</xdr:rowOff>
    </xdr:from>
    <xdr:ext cx="123825" cy="1050471"/>
    <xdr:sp macro="" textlink="">
      <xdr:nvSpPr>
        <xdr:cNvPr id="1529" name="Text Box 207">
          <a:extLst>
            <a:ext uri="{FF2B5EF4-FFF2-40B4-BE49-F238E27FC236}">
              <a16:creationId xmlns:a16="http://schemas.microsoft.com/office/drawing/2014/main" id="{00000000-0008-0000-0F00-0000F905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8</xdr:row>
      <xdr:rowOff>0</xdr:rowOff>
    </xdr:from>
    <xdr:ext cx="123825" cy="1050471"/>
    <xdr:sp macro="" textlink="">
      <xdr:nvSpPr>
        <xdr:cNvPr id="1530" name="Text Box 208">
          <a:extLst>
            <a:ext uri="{FF2B5EF4-FFF2-40B4-BE49-F238E27FC236}">
              <a16:creationId xmlns:a16="http://schemas.microsoft.com/office/drawing/2014/main" id="{00000000-0008-0000-0F00-0000FA05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8</xdr:row>
      <xdr:rowOff>0</xdr:rowOff>
    </xdr:from>
    <xdr:ext cx="123825" cy="1050471"/>
    <xdr:sp macro="" textlink="">
      <xdr:nvSpPr>
        <xdr:cNvPr id="1531" name="Text Box 209">
          <a:extLst>
            <a:ext uri="{FF2B5EF4-FFF2-40B4-BE49-F238E27FC236}">
              <a16:creationId xmlns:a16="http://schemas.microsoft.com/office/drawing/2014/main" id="{00000000-0008-0000-0F00-0000FB05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8</xdr:row>
      <xdr:rowOff>0</xdr:rowOff>
    </xdr:from>
    <xdr:ext cx="123825" cy="1050471"/>
    <xdr:sp macro="" textlink="">
      <xdr:nvSpPr>
        <xdr:cNvPr id="1532" name="Text Box 210">
          <a:extLst>
            <a:ext uri="{FF2B5EF4-FFF2-40B4-BE49-F238E27FC236}">
              <a16:creationId xmlns:a16="http://schemas.microsoft.com/office/drawing/2014/main" id="{00000000-0008-0000-0F00-0000FC05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8</xdr:row>
      <xdr:rowOff>0</xdr:rowOff>
    </xdr:from>
    <xdr:ext cx="123825" cy="936171"/>
    <xdr:sp macro="" textlink="">
      <xdr:nvSpPr>
        <xdr:cNvPr id="1533" name="Text Box 211">
          <a:extLst>
            <a:ext uri="{FF2B5EF4-FFF2-40B4-BE49-F238E27FC236}">
              <a16:creationId xmlns:a16="http://schemas.microsoft.com/office/drawing/2014/main" id="{00000000-0008-0000-0F00-0000FD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8</xdr:row>
      <xdr:rowOff>0</xdr:rowOff>
    </xdr:from>
    <xdr:ext cx="123825" cy="936171"/>
    <xdr:sp macro="" textlink="">
      <xdr:nvSpPr>
        <xdr:cNvPr id="1534" name="Text Box 212">
          <a:extLst>
            <a:ext uri="{FF2B5EF4-FFF2-40B4-BE49-F238E27FC236}">
              <a16:creationId xmlns:a16="http://schemas.microsoft.com/office/drawing/2014/main" id="{00000000-0008-0000-0F00-0000FE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8</xdr:row>
      <xdr:rowOff>0</xdr:rowOff>
    </xdr:from>
    <xdr:ext cx="123825" cy="936171"/>
    <xdr:sp macro="" textlink="">
      <xdr:nvSpPr>
        <xdr:cNvPr id="1535" name="Text Box 213">
          <a:extLst>
            <a:ext uri="{FF2B5EF4-FFF2-40B4-BE49-F238E27FC236}">
              <a16:creationId xmlns:a16="http://schemas.microsoft.com/office/drawing/2014/main" id="{00000000-0008-0000-0F00-0000FF05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8</xdr:row>
      <xdr:rowOff>0</xdr:rowOff>
    </xdr:from>
    <xdr:ext cx="123825" cy="936171"/>
    <xdr:sp macro="" textlink="">
      <xdr:nvSpPr>
        <xdr:cNvPr id="1536" name="Text Box 214">
          <a:extLst>
            <a:ext uri="{FF2B5EF4-FFF2-40B4-BE49-F238E27FC236}">
              <a16:creationId xmlns:a16="http://schemas.microsoft.com/office/drawing/2014/main" id="{00000000-0008-0000-0F00-00000006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37" name="Text Box 197">
          <a:extLst>
            <a:ext uri="{FF2B5EF4-FFF2-40B4-BE49-F238E27FC236}">
              <a16:creationId xmlns:a16="http://schemas.microsoft.com/office/drawing/2014/main" id="{00000000-0008-0000-0F00-000001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38" name="Text Box 198">
          <a:extLst>
            <a:ext uri="{FF2B5EF4-FFF2-40B4-BE49-F238E27FC236}">
              <a16:creationId xmlns:a16="http://schemas.microsoft.com/office/drawing/2014/main" id="{00000000-0008-0000-0F00-000002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39" name="Text Box 199">
          <a:extLst>
            <a:ext uri="{FF2B5EF4-FFF2-40B4-BE49-F238E27FC236}">
              <a16:creationId xmlns:a16="http://schemas.microsoft.com/office/drawing/2014/main" id="{00000000-0008-0000-0F00-000003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40" name="Text Box 200">
          <a:extLst>
            <a:ext uri="{FF2B5EF4-FFF2-40B4-BE49-F238E27FC236}">
              <a16:creationId xmlns:a16="http://schemas.microsoft.com/office/drawing/2014/main" id="{00000000-0008-0000-0F00-000004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41" name="Text Box 201">
          <a:extLst>
            <a:ext uri="{FF2B5EF4-FFF2-40B4-BE49-F238E27FC236}">
              <a16:creationId xmlns:a16="http://schemas.microsoft.com/office/drawing/2014/main" id="{00000000-0008-0000-0F00-000005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42" name="Text Box 202">
          <a:extLst>
            <a:ext uri="{FF2B5EF4-FFF2-40B4-BE49-F238E27FC236}">
              <a16:creationId xmlns:a16="http://schemas.microsoft.com/office/drawing/2014/main" id="{00000000-0008-0000-0F00-000006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43" name="Text Box 203">
          <a:extLst>
            <a:ext uri="{FF2B5EF4-FFF2-40B4-BE49-F238E27FC236}">
              <a16:creationId xmlns:a16="http://schemas.microsoft.com/office/drawing/2014/main" id="{00000000-0008-0000-0F00-000007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44" name="Text Box 204">
          <a:extLst>
            <a:ext uri="{FF2B5EF4-FFF2-40B4-BE49-F238E27FC236}">
              <a16:creationId xmlns:a16="http://schemas.microsoft.com/office/drawing/2014/main" id="{00000000-0008-0000-0F00-000008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14300" cy="945696"/>
    <xdr:sp macro="" textlink="">
      <xdr:nvSpPr>
        <xdr:cNvPr id="1545" name="Text Box 205">
          <a:extLst>
            <a:ext uri="{FF2B5EF4-FFF2-40B4-BE49-F238E27FC236}">
              <a16:creationId xmlns:a16="http://schemas.microsoft.com/office/drawing/2014/main" id="{00000000-0008-0000-0F00-00000906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9</xdr:row>
      <xdr:rowOff>0</xdr:rowOff>
    </xdr:from>
    <xdr:ext cx="114300" cy="945696"/>
    <xdr:sp macro="" textlink="">
      <xdr:nvSpPr>
        <xdr:cNvPr id="1546" name="Text Box 206">
          <a:extLst>
            <a:ext uri="{FF2B5EF4-FFF2-40B4-BE49-F238E27FC236}">
              <a16:creationId xmlns:a16="http://schemas.microsoft.com/office/drawing/2014/main" id="{00000000-0008-0000-0F00-00000A06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9</xdr:row>
      <xdr:rowOff>0</xdr:rowOff>
    </xdr:from>
    <xdr:ext cx="123825" cy="945696"/>
    <xdr:sp macro="" textlink="">
      <xdr:nvSpPr>
        <xdr:cNvPr id="1547" name="Text Box 207">
          <a:extLst>
            <a:ext uri="{FF2B5EF4-FFF2-40B4-BE49-F238E27FC236}">
              <a16:creationId xmlns:a16="http://schemas.microsoft.com/office/drawing/2014/main" id="{00000000-0008-0000-0F00-00000B06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9</xdr:row>
      <xdr:rowOff>0</xdr:rowOff>
    </xdr:from>
    <xdr:ext cx="123825" cy="945696"/>
    <xdr:sp macro="" textlink="">
      <xdr:nvSpPr>
        <xdr:cNvPr id="1548" name="Text Box 208">
          <a:extLst>
            <a:ext uri="{FF2B5EF4-FFF2-40B4-BE49-F238E27FC236}">
              <a16:creationId xmlns:a16="http://schemas.microsoft.com/office/drawing/2014/main" id="{00000000-0008-0000-0F00-00000C06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9</xdr:row>
      <xdr:rowOff>0</xdr:rowOff>
    </xdr:from>
    <xdr:ext cx="123825" cy="945696"/>
    <xdr:sp macro="" textlink="">
      <xdr:nvSpPr>
        <xdr:cNvPr id="1549" name="Text Box 209">
          <a:extLst>
            <a:ext uri="{FF2B5EF4-FFF2-40B4-BE49-F238E27FC236}">
              <a16:creationId xmlns:a16="http://schemas.microsoft.com/office/drawing/2014/main" id="{00000000-0008-0000-0F00-00000D06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9</xdr:row>
      <xdr:rowOff>0</xdr:rowOff>
    </xdr:from>
    <xdr:ext cx="123825" cy="945696"/>
    <xdr:sp macro="" textlink="">
      <xdr:nvSpPr>
        <xdr:cNvPr id="1550" name="Text Box 210">
          <a:extLst>
            <a:ext uri="{FF2B5EF4-FFF2-40B4-BE49-F238E27FC236}">
              <a16:creationId xmlns:a16="http://schemas.microsoft.com/office/drawing/2014/main" id="{00000000-0008-0000-0F00-00000E06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51" name="Text Box 211">
          <a:extLst>
            <a:ext uri="{FF2B5EF4-FFF2-40B4-BE49-F238E27FC236}">
              <a16:creationId xmlns:a16="http://schemas.microsoft.com/office/drawing/2014/main" id="{00000000-0008-0000-0F00-00000F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52" name="Text Box 212">
          <a:extLst>
            <a:ext uri="{FF2B5EF4-FFF2-40B4-BE49-F238E27FC236}">
              <a16:creationId xmlns:a16="http://schemas.microsoft.com/office/drawing/2014/main" id="{00000000-0008-0000-0F00-000010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53" name="Text Box 213">
          <a:extLst>
            <a:ext uri="{FF2B5EF4-FFF2-40B4-BE49-F238E27FC236}">
              <a16:creationId xmlns:a16="http://schemas.microsoft.com/office/drawing/2014/main" id="{00000000-0008-0000-0F00-000011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831396"/>
    <xdr:sp macro="" textlink="">
      <xdr:nvSpPr>
        <xdr:cNvPr id="1554" name="Text Box 214">
          <a:extLst>
            <a:ext uri="{FF2B5EF4-FFF2-40B4-BE49-F238E27FC236}">
              <a16:creationId xmlns:a16="http://schemas.microsoft.com/office/drawing/2014/main" id="{00000000-0008-0000-0F00-000012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55" name="Text Box 197">
          <a:extLst>
            <a:ext uri="{FF2B5EF4-FFF2-40B4-BE49-F238E27FC236}">
              <a16:creationId xmlns:a16="http://schemas.microsoft.com/office/drawing/2014/main" id="{00000000-0008-0000-0F00-000013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56" name="Text Box 198">
          <a:extLst>
            <a:ext uri="{FF2B5EF4-FFF2-40B4-BE49-F238E27FC236}">
              <a16:creationId xmlns:a16="http://schemas.microsoft.com/office/drawing/2014/main" id="{00000000-0008-0000-0F00-000014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57" name="Text Box 199">
          <a:extLst>
            <a:ext uri="{FF2B5EF4-FFF2-40B4-BE49-F238E27FC236}">
              <a16:creationId xmlns:a16="http://schemas.microsoft.com/office/drawing/2014/main" id="{00000000-0008-0000-0F00-000015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58" name="Text Box 200">
          <a:extLst>
            <a:ext uri="{FF2B5EF4-FFF2-40B4-BE49-F238E27FC236}">
              <a16:creationId xmlns:a16="http://schemas.microsoft.com/office/drawing/2014/main" id="{00000000-0008-0000-0F00-000016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59" name="Text Box 201">
          <a:extLst>
            <a:ext uri="{FF2B5EF4-FFF2-40B4-BE49-F238E27FC236}">
              <a16:creationId xmlns:a16="http://schemas.microsoft.com/office/drawing/2014/main" id="{00000000-0008-0000-0F00-000017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60" name="Text Box 202">
          <a:extLst>
            <a:ext uri="{FF2B5EF4-FFF2-40B4-BE49-F238E27FC236}">
              <a16:creationId xmlns:a16="http://schemas.microsoft.com/office/drawing/2014/main" id="{00000000-0008-0000-0F00-000018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61" name="Text Box 203">
          <a:extLst>
            <a:ext uri="{FF2B5EF4-FFF2-40B4-BE49-F238E27FC236}">
              <a16:creationId xmlns:a16="http://schemas.microsoft.com/office/drawing/2014/main" id="{00000000-0008-0000-0F00-000019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62" name="Text Box 204">
          <a:extLst>
            <a:ext uri="{FF2B5EF4-FFF2-40B4-BE49-F238E27FC236}">
              <a16:creationId xmlns:a16="http://schemas.microsoft.com/office/drawing/2014/main" id="{00000000-0008-0000-0F00-00001A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14300" cy="945696"/>
    <xdr:sp macro="" textlink="">
      <xdr:nvSpPr>
        <xdr:cNvPr id="1563" name="Text Box 205">
          <a:extLst>
            <a:ext uri="{FF2B5EF4-FFF2-40B4-BE49-F238E27FC236}">
              <a16:creationId xmlns:a16="http://schemas.microsoft.com/office/drawing/2014/main" id="{00000000-0008-0000-0F00-00001B06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9</xdr:row>
      <xdr:rowOff>0</xdr:rowOff>
    </xdr:from>
    <xdr:ext cx="114300" cy="945696"/>
    <xdr:sp macro="" textlink="">
      <xdr:nvSpPr>
        <xdr:cNvPr id="1564" name="Text Box 206">
          <a:extLst>
            <a:ext uri="{FF2B5EF4-FFF2-40B4-BE49-F238E27FC236}">
              <a16:creationId xmlns:a16="http://schemas.microsoft.com/office/drawing/2014/main" id="{00000000-0008-0000-0F00-00001C06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9</xdr:row>
      <xdr:rowOff>0</xdr:rowOff>
    </xdr:from>
    <xdr:ext cx="123825" cy="945696"/>
    <xdr:sp macro="" textlink="">
      <xdr:nvSpPr>
        <xdr:cNvPr id="1565" name="Text Box 207">
          <a:extLst>
            <a:ext uri="{FF2B5EF4-FFF2-40B4-BE49-F238E27FC236}">
              <a16:creationId xmlns:a16="http://schemas.microsoft.com/office/drawing/2014/main" id="{00000000-0008-0000-0F00-00001D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9</xdr:row>
      <xdr:rowOff>0</xdr:rowOff>
    </xdr:from>
    <xdr:ext cx="123825" cy="945696"/>
    <xdr:sp macro="" textlink="">
      <xdr:nvSpPr>
        <xdr:cNvPr id="1566" name="Text Box 208">
          <a:extLst>
            <a:ext uri="{FF2B5EF4-FFF2-40B4-BE49-F238E27FC236}">
              <a16:creationId xmlns:a16="http://schemas.microsoft.com/office/drawing/2014/main" id="{00000000-0008-0000-0F00-00001E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9</xdr:row>
      <xdr:rowOff>0</xdr:rowOff>
    </xdr:from>
    <xdr:ext cx="123825" cy="945696"/>
    <xdr:sp macro="" textlink="">
      <xdr:nvSpPr>
        <xdr:cNvPr id="1567" name="Text Box 209">
          <a:extLst>
            <a:ext uri="{FF2B5EF4-FFF2-40B4-BE49-F238E27FC236}">
              <a16:creationId xmlns:a16="http://schemas.microsoft.com/office/drawing/2014/main" id="{00000000-0008-0000-0F00-00001F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9</xdr:row>
      <xdr:rowOff>0</xdr:rowOff>
    </xdr:from>
    <xdr:ext cx="123825" cy="945696"/>
    <xdr:sp macro="" textlink="">
      <xdr:nvSpPr>
        <xdr:cNvPr id="1568" name="Text Box 210">
          <a:extLst>
            <a:ext uri="{FF2B5EF4-FFF2-40B4-BE49-F238E27FC236}">
              <a16:creationId xmlns:a16="http://schemas.microsoft.com/office/drawing/2014/main" id="{00000000-0008-0000-0F00-000020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69" name="Text Box 211">
          <a:extLst>
            <a:ext uri="{FF2B5EF4-FFF2-40B4-BE49-F238E27FC236}">
              <a16:creationId xmlns:a16="http://schemas.microsoft.com/office/drawing/2014/main" id="{00000000-0008-0000-0F00-000021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70" name="Text Box 212">
          <a:extLst>
            <a:ext uri="{FF2B5EF4-FFF2-40B4-BE49-F238E27FC236}">
              <a16:creationId xmlns:a16="http://schemas.microsoft.com/office/drawing/2014/main" id="{00000000-0008-0000-0F00-000022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71" name="Text Box 213">
          <a:extLst>
            <a:ext uri="{FF2B5EF4-FFF2-40B4-BE49-F238E27FC236}">
              <a16:creationId xmlns:a16="http://schemas.microsoft.com/office/drawing/2014/main" id="{00000000-0008-0000-0F00-000023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72" name="Text Box 214">
          <a:extLst>
            <a:ext uri="{FF2B5EF4-FFF2-40B4-BE49-F238E27FC236}">
              <a16:creationId xmlns:a16="http://schemas.microsoft.com/office/drawing/2014/main" id="{00000000-0008-0000-0F00-000024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73" name="Text Box 197">
          <a:extLst>
            <a:ext uri="{FF2B5EF4-FFF2-40B4-BE49-F238E27FC236}">
              <a16:creationId xmlns:a16="http://schemas.microsoft.com/office/drawing/2014/main" id="{00000000-0008-0000-0F00-000025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74" name="Text Box 198">
          <a:extLst>
            <a:ext uri="{FF2B5EF4-FFF2-40B4-BE49-F238E27FC236}">
              <a16:creationId xmlns:a16="http://schemas.microsoft.com/office/drawing/2014/main" id="{00000000-0008-0000-0F00-000026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75" name="Text Box 199">
          <a:extLst>
            <a:ext uri="{FF2B5EF4-FFF2-40B4-BE49-F238E27FC236}">
              <a16:creationId xmlns:a16="http://schemas.microsoft.com/office/drawing/2014/main" id="{00000000-0008-0000-0F00-000027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76" name="Text Box 200">
          <a:extLst>
            <a:ext uri="{FF2B5EF4-FFF2-40B4-BE49-F238E27FC236}">
              <a16:creationId xmlns:a16="http://schemas.microsoft.com/office/drawing/2014/main" id="{00000000-0008-0000-0F00-000028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77" name="Text Box 201">
          <a:extLst>
            <a:ext uri="{FF2B5EF4-FFF2-40B4-BE49-F238E27FC236}">
              <a16:creationId xmlns:a16="http://schemas.microsoft.com/office/drawing/2014/main" id="{00000000-0008-0000-0F00-000029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78" name="Text Box 202">
          <a:extLst>
            <a:ext uri="{FF2B5EF4-FFF2-40B4-BE49-F238E27FC236}">
              <a16:creationId xmlns:a16="http://schemas.microsoft.com/office/drawing/2014/main" id="{00000000-0008-0000-0F00-00002A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79" name="Text Box 203">
          <a:extLst>
            <a:ext uri="{FF2B5EF4-FFF2-40B4-BE49-F238E27FC236}">
              <a16:creationId xmlns:a16="http://schemas.microsoft.com/office/drawing/2014/main" id="{00000000-0008-0000-0F00-00002B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80" name="Text Box 204">
          <a:extLst>
            <a:ext uri="{FF2B5EF4-FFF2-40B4-BE49-F238E27FC236}">
              <a16:creationId xmlns:a16="http://schemas.microsoft.com/office/drawing/2014/main" id="{00000000-0008-0000-0F00-00002C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14300" cy="945696"/>
    <xdr:sp macro="" textlink="">
      <xdr:nvSpPr>
        <xdr:cNvPr id="1581" name="Text Box 205">
          <a:extLst>
            <a:ext uri="{FF2B5EF4-FFF2-40B4-BE49-F238E27FC236}">
              <a16:creationId xmlns:a16="http://schemas.microsoft.com/office/drawing/2014/main" id="{00000000-0008-0000-0F00-00002D06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9</xdr:row>
      <xdr:rowOff>0</xdr:rowOff>
    </xdr:from>
    <xdr:ext cx="114300" cy="945696"/>
    <xdr:sp macro="" textlink="">
      <xdr:nvSpPr>
        <xdr:cNvPr id="1582" name="Text Box 206">
          <a:extLst>
            <a:ext uri="{FF2B5EF4-FFF2-40B4-BE49-F238E27FC236}">
              <a16:creationId xmlns:a16="http://schemas.microsoft.com/office/drawing/2014/main" id="{00000000-0008-0000-0F00-00002E06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9</xdr:row>
      <xdr:rowOff>0</xdr:rowOff>
    </xdr:from>
    <xdr:ext cx="123825" cy="945696"/>
    <xdr:sp macro="" textlink="">
      <xdr:nvSpPr>
        <xdr:cNvPr id="1583" name="Text Box 207">
          <a:extLst>
            <a:ext uri="{FF2B5EF4-FFF2-40B4-BE49-F238E27FC236}">
              <a16:creationId xmlns:a16="http://schemas.microsoft.com/office/drawing/2014/main" id="{00000000-0008-0000-0F00-00002F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9</xdr:row>
      <xdr:rowOff>0</xdr:rowOff>
    </xdr:from>
    <xdr:ext cx="123825" cy="945696"/>
    <xdr:sp macro="" textlink="">
      <xdr:nvSpPr>
        <xdr:cNvPr id="1584" name="Text Box 208">
          <a:extLst>
            <a:ext uri="{FF2B5EF4-FFF2-40B4-BE49-F238E27FC236}">
              <a16:creationId xmlns:a16="http://schemas.microsoft.com/office/drawing/2014/main" id="{00000000-0008-0000-0F00-000030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9</xdr:row>
      <xdr:rowOff>0</xdr:rowOff>
    </xdr:from>
    <xdr:ext cx="123825" cy="945696"/>
    <xdr:sp macro="" textlink="">
      <xdr:nvSpPr>
        <xdr:cNvPr id="1585" name="Text Box 209">
          <a:extLst>
            <a:ext uri="{FF2B5EF4-FFF2-40B4-BE49-F238E27FC236}">
              <a16:creationId xmlns:a16="http://schemas.microsoft.com/office/drawing/2014/main" id="{00000000-0008-0000-0F00-000031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9</xdr:row>
      <xdr:rowOff>0</xdr:rowOff>
    </xdr:from>
    <xdr:ext cx="123825" cy="945696"/>
    <xdr:sp macro="" textlink="">
      <xdr:nvSpPr>
        <xdr:cNvPr id="1586" name="Text Box 210">
          <a:extLst>
            <a:ext uri="{FF2B5EF4-FFF2-40B4-BE49-F238E27FC236}">
              <a16:creationId xmlns:a16="http://schemas.microsoft.com/office/drawing/2014/main" id="{00000000-0008-0000-0F00-000032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87" name="Text Box 211">
          <a:extLst>
            <a:ext uri="{FF2B5EF4-FFF2-40B4-BE49-F238E27FC236}">
              <a16:creationId xmlns:a16="http://schemas.microsoft.com/office/drawing/2014/main" id="{00000000-0008-0000-0F00-000033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88" name="Text Box 212">
          <a:extLst>
            <a:ext uri="{FF2B5EF4-FFF2-40B4-BE49-F238E27FC236}">
              <a16:creationId xmlns:a16="http://schemas.microsoft.com/office/drawing/2014/main" id="{00000000-0008-0000-0F00-000034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89" name="Text Box 213">
          <a:extLst>
            <a:ext uri="{FF2B5EF4-FFF2-40B4-BE49-F238E27FC236}">
              <a16:creationId xmlns:a16="http://schemas.microsoft.com/office/drawing/2014/main" id="{00000000-0008-0000-0F00-000035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9</xdr:row>
      <xdr:rowOff>0</xdr:rowOff>
    </xdr:from>
    <xdr:ext cx="123825" cy="831396"/>
    <xdr:sp macro="" textlink="">
      <xdr:nvSpPr>
        <xdr:cNvPr id="1590" name="Text Box 214">
          <a:extLst>
            <a:ext uri="{FF2B5EF4-FFF2-40B4-BE49-F238E27FC236}">
              <a16:creationId xmlns:a16="http://schemas.microsoft.com/office/drawing/2014/main" id="{00000000-0008-0000-0F00-000036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938741"/>
    <xdr:sp macro="" textlink="">
      <xdr:nvSpPr>
        <xdr:cNvPr id="1591" name="Text Box 197">
          <a:extLst>
            <a:ext uri="{FF2B5EF4-FFF2-40B4-BE49-F238E27FC236}">
              <a16:creationId xmlns:a16="http://schemas.microsoft.com/office/drawing/2014/main" id="{00000000-0008-0000-0F00-000037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9</xdr:row>
      <xdr:rowOff>0</xdr:rowOff>
    </xdr:from>
    <xdr:ext cx="123825" cy="938741"/>
    <xdr:sp macro="" textlink="">
      <xdr:nvSpPr>
        <xdr:cNvPr id="1592" name="Text Box 198">
          <a:extLst>
            <a:ext uri="{FF2B5EF4-FFF2-40B4-BE49-F238E27FC236}">
              <a16:creationId xmlns:a16="http://schemas.microsoft.com/office/drawing/2014/main" id="{00000000-0008-0000-0F00-000038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9</xdr:row>
      <xdr:rowOff>0</xdr:rowOff>
    </xdr:from>
    <xdr:ext cx="123825" cy="938741"/>
    <xdr:sp macro="" textlink="">
      <xdr:nvSpPr>
        <xdr:cNvPr id="1593" name="Text Box 199">
          <a:extLst>
            <a:ext uri="{FF2B5EF4-FFF2-40B4-BE49-F238E27FC236}">
              <a16:creationId xmlns:a16="http://schemas.microsoft.com/office/drawing/2014/main" id="{00000000-0008-0000-0F00-000039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9</xdr:row>
      <xdr:rowOff>0</xdr:rowOff>
    </xdr:from>
    <xdr:ext cx="123825" cy="938741"/>
    <xdr:sp macro="" textlink="">
      <xdr:nvSpPr>
        <xdr:cNvPr id="1594" name="Text Box 200">
          <a:extLst>
            <a:ext uri="{FF2B5EF4-FFF2-40B4-BE49-F238E27FC236}">
              <a16:creationId xmlns:a16="http://schemas.microsoft.com/office/drawing/2014/main" id="{00000000-0008-0000-0F00-00003A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9</xdr:row>
      <xdr:rowOff>0</xdr:rowOff>
    </xdr:from>
    <xdr:ext cx="123825" cy="938741"/>
    <xdr:sp macro="" textlink="">
      <xdr:nvSpPr>
        <xdr:cNvPr id="1595" name="Text Box 201">
          <a:extLst>
            <a:ext uri="{FF2B5EF4-FFF2-40B4-BE49-F238E27FC236}">
              <a16:creationId xmlns:a16="http://schemas.microsoft.com/office/drawing/2014/main" id="{00000000-0008-0000-0F00-00003B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9</xdr:row>
      <xdr:rowOff>0</xdr:rowOff>
    </xdr:from>
    <xdr:ext cx="123825" cy="938741"/>
    <xdr:sp macro="" textlink="">
      <xdr:nvSpPr>
        <xdr:cNvPr id="1596" name="Text Box 202">
          <a:extLst>
            <a:ext uri="{FF2B5EF4-FFF2-40B4-BE49-F238E27FC236}">
              <a16:creationId xmlns:a16="http://schemas.microsoft.com/office/drawing/2014/main" id="{00000000-0008-0000-0F00-00003C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9</xdr:row>
      <xdr:rowOff>0</xdr:rowOff>
    </xdr:from>
    <xdr:ext cx="123825" cy="938741"/>
    <xdr:sp macro="" textlink="">
      <xdr:nvSpPr>
        <xdr:cNvPr id="1597" name="Text Box 203">
          <a:extLst>
            <a:ext uri="{FF2B5EF4-FFF2-40B4-BE49-F238E27FC236}">
              <a16:creationId xmlns:a16="http://schemas.microsoft.com/office/drawing/2014/main" id="{00000000-0008-0000-0F00-00003D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9</xdr:row>
      <xdr:rowOff>0</xdr:rowOff>
    </xdr:from>
    <xdr:ext cx="123825" cy="938741"/>
    <xdr:sp macro="" textlink="">
      <xdr:nvSpPr>
        <xdr:cNvPr id="1598" name="Text Box 204">
          <a:extLst>
            <a:ext uri="{FF2B5EF4-FFF2-40B4-BE49-F238E27FC236}">
              <a16:creationId xmlns:a16="http://schemas.microsoft.com/office/drawing/2014/main" id="{00000000-0008-0000-0F00-00003E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9</xdr:row>
      <xdr:rowOff>0</xdr:rowOff>
    </xdr:from>
    <xdr:ext cx="114300" cy="1053041"/>
    <xdr:sp macro="" textlink="">
      <xdr:nvSpPr>
        <xdr:cNvPr id="1599" name="Text Box 205">
          <a:extLst>
            <a:ext uri="{FF2B5EF4-FFF2-40B4-BE49-F238E27FC236}">
              <a16:creationId xmlns:a16="http://schemas.microsoft.com/office/drawing/2014/main" id="{00000000-0008-0000-0F00-00003F060000}"/>
            </a:ext>
          </a:extLst>
        </xdr:cNvPr>
        <xdr:cNvSpPr txBox="1">
          <a:spLocks noChangeArrowheads="1"/>
        </xdr:cNvSpPr>
      </xdr:nvSpPr>
      <xdr:spPr bwMode="auto">
        <a:xfrm>
          <a:off x="3100917" y="4921250"/>
          <a:ext cx="114300" cy="1053041"/>
        </a:xfrm>
        <a:prstGeom prst="rect">
          <a:avLst/>
        </a:prstGeom>
        <a:noFill/>
        <a:ln w="9525">
          <a:noFill/>
          <a:miter lim="800000"/>
          <a:headEnd/>
          <a:tailEnd/>
        </a:ln>
      </xdr:spPr>
    </xdr:sp>
    <xdr:clientData/>
  </xdr:oneCellAnchor>
  <xdr:oneCellAnchor>
    <xdr:from>
      <xdr:col>4</xdr:col>
      <xdr:colOff>0</xdr:colOff>
      <xdr:row>9</xdr:row>
      <xdr:rowOff>0</xdr:rowOff>
    </xdr:from>
    <xdr:ext cx="114300" cy="1053041"/>
    <xdr:sp macro="" textlink="">
      <xdr:nvSpPr>
        <xdr:cNvPr id="1600" name="Text Box 206">
          <a:extLst>
            <a:ext uri="{FF2B5EF4-FFF2-40B4-BE49-F238E27FC236}">
              <a16:creationId xmlns:a16="http://schemas.microsoft.com/office/drawing/2014/main" id="{00000000-0008-0000-0F00-000040060000}"/>
            </a:ext>
          </a:extLst>
        </xdr:cNvPr>
        <xdr:cNvSpPr txBox="1">
          <a:spLocks noChangeArrowheads="1"/>
        </xdr:cNvSpPr>
      </xdr:nvSpPr>
      <xdr:spPr bwMode="auto">
        <a:xfrm>
          <a:off x="3100917" y="4921250"/>
          <a:ext cx="114300" cy="1053041"/>
        </a:xfrm>
        <a:prstGeom prst="rect">
          <a:avLst/>
        </a:prstGeom>
        <a:noFill/>
        <a:ln w="9525">
          <a:noFill/>
          <a:miter lim="800000"/>
          <a:headEnd/>
          <a:tailEnd/>
        </a:ln>
      </xdr:spPr>
    </xdr:sp>
    <xdr:clientData/>
  </xdr:oneCellAnchor>
  <xdr:oneCellAnchor>
    <xdr:from>
      <xdr:col>4</xdr:col>
      <xdr:colOff>0</xdr:colOff>
      <xdr:row>9</xdr:row>
      <xdr:rowOff>0</xdr:rowOff>
    </xdr:from>
    <xdr:ext cx="123825" cy="1053041"/>
    <xdr:sp macro="" textlink="">
      <xdr:nvSpPr>
        <xdr:cNvPr id="1601" name="Text Box 207">
          <a:extLst>
            <a:ext uri="{FF2B5EF4-FFF2-40B4-BE49-F238E27FC236}">
              <a16:creationId xmlns:a16="http://schemas.microsoft.com/office/drawing/2014/main" id="{00000000-0008-0000-0F00-00004106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9</xdr:row>
      <xdr:rowOff>0</xdr:rowOff>
    </xdr:from>
    <xdr:ext cx="123825" cy="1053041"/>
    <xdr:sp macro="" textlink="">
      <xdr:nvSpPr>
        <xdr:cNvPr id="1602" name="Text Box 208">
          <a:extLst>
            <a:ext uri="{FF2B5EF4-FFF2-40B4-BE49-F238E27FC236}">
              <a16:creationId xmlns:a16="http://schemas.microsoft.com/office/drawing/2014/main" id="{00000000-0008-0000-0F00-00004206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9</xdr:row>
      <xdr:rowOff>0</xdr:rowOff>
    </xdr:from>
    <xdr:ext cx="123825" cy="1053041"/>
    <xdr:sp macro="" textlink="">
      <xdr:nvSpPr>
        <xdr:cNvPr id="1603" name="Text Box 209">
          <a:extLst>
            <a:ext uri="{FF2B5EF4-FFF2-40B4-BE49-F238E27FC236}">
              <a16:creationId xmlns:a16="http://schemas.microsoft.com/office/drawing/2014/main" id="{00000000-0008-0000-0F00-00004306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9</xdr:row>
      <xdr:rowOff>0</xdr:rowOff>
    </xdr:from>
    <xdr:ext cx="123825" cy="1053041"/>
    <xdr:sp macro="" textlink="">
      <xdr:nvSpPr>
        <xdr:cNvPr id="1604" name="Text Box 210">
          <a:extLst>
            <a:ext uri="{FF2B5EF4-FFF2-40B4-BE49-F238E27FC236}">
              <a16:creationId xmlns:a16="http://schemas.microsoft.com/office/drawing/2014/main" id="{00000000-0008-0000-0F00-00004406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9</xdr:row>
      <xdr:rowOff>0</xdr:rowOff>
    </xdr:from>
    <xdr:ext cx="123825" cy="938741"/>
    <xdr:sp macro="" textlink="">
      <xdr:nvSpPr>
        <xdr:cNvPr id="1605" name="Text Box 211">
          <a:extLst>
            <a:ext uri="{FF2B5EF4-FFF2-40B4-BE49-F238E27FC236}">
              <a16:creationId xmlns:a16="http://schemas.microsoft.com/office/drawing/2014/main" id="{00000000-0008-0000-0F00-000045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9</xdr:row>
      <xdr:rowOff>0</xdr:rowOff>
    </xdr:from>
    <xdr:ext cx="123825" cy="938741"/>
    <xdr:sp macro="" textlink="">
      <xdr:nvSpPr>
        <xdr:cNvPr id="1606" name="Text Box 212">
          <a:extLst>
            <a:ext uri="{FF2B5EF4-FFF2-40B4-BE49-F238E27FC236}">
              <a16:creationId xmlns:a16="http://schemas.microsoft.com/office/drawing/2014/main" id="{00000000-0008-0000-0F00-000046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9</xdr:row>
      <xdr:rowOff>0</xdr:rowOff>
    </xdr:from>
    <xdr:ext cx="123825" cy="938741"/>
    <xdr:sp macro="" textlink="">
      <xdr:nvSpPr>
        <xdr:cNvPr id="1607" name="Text Box 213">
          <a:extLst>
            <a:ext uri="{FF2B5EF4-FFF2-40B4-BE49-F238E27FC236}">
              <a16:creationId xmlns:a16="http://schemas.microsoft.com/office/drawing/2014/main" id="{00000000-0008-0000-0F00-000047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9</xdr:row>
      <xdr:rowOff>0</xdr:rowOff>
    </xdr:from>
    <xdr:ext cx="123825" cy="938741"/>
    <xdr:sp macro="" textlink="">
      <xdr:nvSpPr>
        <xdr:cNvPr id="1608" name="Text Box 214">
          <a:extLst>
            <a:ext uri="{FF2B5EF4-FFF2-40B4-BE49-F238E27FC236}">
              <a16:creationId xmlns:a16="http://schemas.microsoft.com/office/drawing/2014/main" id="{00000000-0008-0000-0F00-000048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09" name="Text Box 197">
          <a:extLst>
            <a:ext uri="{FF2B5EF4-FFF2-40B4-BE49-F238E27FC236}">
              <a16:creationId xmlns:a16="http://schemas.microsoft.com/office/drawing/2014/main" id="{00000000-0008-0000-0F00-000049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10" name="Text Box 198">
          <a:extLst>
            <a:ext uri="{FF2B5EF4-FFF2-40B4-BE49-F238E27FC236}">
              <a16:creationId xmlns:a16="http://schemas.microsoft.com/office/drawing/2014/main" id="{00000000-0008-0000-0F00-00004A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11" name="Text Box 199">
          <a:extLst>
            <a:ext uri="{FF2B5EF4-FFF2-40B4-BE49-F238E27FC236}">
              <a16:creationId xmlns:a16="http://schemas.microsoft.com/office/drawing/2014/main" id="{00000000-0008-0000-0F00-00004B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12" name="Text Box 200">
          <a:extLst>
            <a:ext uri="{FF2B5EF4-FFF2-40B4-BE49-F238E27FC236}">
              <a16:creationId xmlns:a16="http://schemas.microsoft.com/office/drawing/2014/main" id="{00000000-0008-0000-0F00-00004C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13" name="Text Box 201">
          <a:extLst>
            <a:ext uri="{FF2B5EF4-FFF2-40B4-BE49-F238E27FC236}">
              <a16:creationId xmlns:a16="http://schemas.microsoft.com/office/drawing/2014/main" id="{00000000-0008-0000-0F00-00004D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14" name="Text Box 202">
          <a:extLst>
            <a:ext uri="{FF2B5EF4-FFF2-40B4-BE49-F238E27FC236}">
              <a16:creationId xmlns:a16="http://schemas.microsoft.com/office/drawing/2014/main" id="{00000000-0008-0000-0F00-00004E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15" name="Text Box 203">
          <a:extLst>
            <a:ext uri="{FF2B5EF4-FFF2-40B4-BE49-F238E27FC236}">
              <a16:creationId xmlns:a16="http://schemas.microsoft.com/office/drawing/2014/main" id="{00000000-0008-0000-0F00-00004F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16" name="Text Box 204">
          <a:extLst>
            <a:ext uri="{FF2B5EF4-FFF2-40B4-BE49-F238E27FC236}">
              <a16:creationId xmlns:a16="http://schemas.microsoft.com/office/drawing/2014/main" id="{00000000-0008-0000-0F00-000050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14300" cy="945696"/>
    <xdr:sp macro="" textlink="">
      <xdr:nvSpPr>
        <xdr:cNvPr id="1617" name="Text Box 205">
          <a:extLst>
            <a:ext uri="{FF2B5EF4-FFF2-40B4-BE49-F238E27FC236}">
              <a16:creationId xmlns:a16="http://schemas.microsoft.com/office/drawing/2014/main" id="{00000000-0008-0000-0F00-00005106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10</xdr:row>
      <xdr:rowOff>0</xdr:rowOff>
    </xdr:from>
    <xdr:ext cx="114300" cy="945696"/>
    <xdr:sp macro="" textlink="">
      <xdr:nvSpPr>
        <xdr:cNvPr id="1618" name="Text Box 206">
          <a:extLst>
            <a:ext uri="{FF2B5EF4-FFF2-40B4-BE49-F238E27FC236}">
              <a16:creationId xmlns:a16="http://schemas.microsoft.com/office/drawing/2014/main" id="{00000000-0008-0000-0F00-00005206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10</xdr:row>
      <xdr:rowOff>0</xdr:rowOff>
    </xdr:from>
    <xdr:ext cx="123825" cy="945696"/>
    <xdr:sp macro="" textlink="">
      <xdr:nvSpPr>
        <xdr:cNvPr id="1619" name="Text Box 207">
          <a:extLst>
            <a:ext uri="{FF2B5EF4-FFF2-40B4-BE49-F238E27FC236}">
              <a16:creationId xmlns:a16="http://schemas.microsoft.com/office/drawing/2014/main" id="{00000000-0008-0000-0F00-000053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10</xdr:row>
      <xdr:rowOff>0</xdr:rowOff>
    </xdr:from>
    <xdr:ext cx="123825" cy="945696"/>
    <xdr:sp macro="" textlink="">
      <xdr:nvSpPr>
        <xdr:cNvPr id="1620" name="Text Box 208">
          <a:extLst>
            <a:ext uri="{FF2B5EF4-FFF2-40B4-BE49-F238E27FC236}">
              <a16:creationId xmlns:a16="http://schemas.microsoft.com/office/drawing/2014/main" id="{00000000-0008-0000-0F00-000054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10</xdr:row>
      <xdr:rowOff>0</xdr:rowOff>
    </xdr:from>
    <xdr:ext cx="123825" cy="945696"/>
    <xdr:sp macro="" textlink="">
      <xdr:nvSpPr>
        <xdr:cNvPr id="1621" name="Text Box 209">
          <a:extLst>
            <a:ext uri="{FF2B5EF4-FFF2-40B4-BE49-F238E27FC236}">
              <a16:creationId xmlns:a16="http://schemas.microsoft.com/office/drawing/2014/main" id="{00000000-0008-0000-0F00-000055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10</xdr:row>
      <xdr:rowOff>0</xdr:rowOff>
    </xdr:from>
    <xdr:ext cx="123825" cy="945696"/>
    <xdr:sp macro="" textlink="">
      <xdr:nvSpPr>
        <xdr:cNvPr id="1622" name="Text Box 210">
          <a:extLst>
            <a:ext uri="{FF2B5EF4-FFF2-40B4-BE49-F238E27FC236}">
              <a16:creationId xmlns:a16="http://schemas.microsoft.com/office/drawing/2014/main" id="{00000000-0008-0000-0F00-000056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23" name="Text Box 211">
          <a:extLst>
            <a:ext uri="{FF2B5EF4-FFF2-40B4-BE49-F238E27FC236}">
              <a16:creationId xmlns:a16="http://schemas.microsoft.com/office/drawing/2014/main" id="{00000000-0008-0000-0F00-000057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24" name="Text Box 212">
          <a:extLst>
            <a:ext uri="{FF2B5EF4-FFF2-40B4-BE49-F238E27FC236}">
              <a16:creationId xmlns:a16="http://schemas.microsoft.com/office/drawing/2014/main" id="{00000000-0008-0000-0F00-000058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25" name="Text Box 213">
          <a:extLst>
            <a:ext uri="{FF2B5EF4-FFF2-40B4-BE49-F238E27FC236}">
              <a16:creationId xmlns:a16="http://schemas.microsoft.com/office/drawing/2014/main" id="{00000000-0008-0000-0F00-000059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26" name="Text Box 214">
          <a:extLst>
            <a:ext uri="{FF2B5EF4-FFF2-40B4-BE49-F238E27FC236}">
              <a16:creationId xmlns:a16="http://schemas.microsoft.com/office/drawing/2014/main" id="{00000000-0008-0000-0F00-00005A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9</xdr:row>
      <xdr:rowOff>0</xdr:rowOff>
    </xdr:from>
    <xdr:ext cx="123825" cy="934660"/>
    <xdr:sp macro="" textlink="">
      <xdr:nvSpPr>
        <xdr:cNvPr id="1627" name="Text Box 197">
          <a:extLst>
            <a:ext uri="{FF2B5EF4-FFF2-40B4-BE49-F238E27FC236}">
              <a16:creationId xmlns:a16="http://schemas.microsoft.com/office/drawing/2014/main" id="{00000000-0008-0000-0F00-00005B06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9</xdr:row>
      <xdr:rowOff>0</xdr:rowOff>
    </xdr:from>
    <xdr:ext cx="123825" cy="934660"/>
    <xdr:sp macro="" textlink="">
      <xdr:nvSpPr>
        <xdr:cNvPr id="1628" name="Text Box 198">
          <a:extLst>
            <a:ext uri="{FF2B5EF4-FFF2-40B4-BE49-F238E27FC236}">
              <a16:creationId xmlns:a16="http://schemas.microsoft.com/office/drawing/2014/main" id="{00000000-0008-0000-0F00-00005C06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9</xdr:row>
      <xdr:rowOff>0</xdr:rowOff>
    </xdr:from>
    <xdr:ext cx="123825" cy="934660"/>
    <xdr:sp macro="" textlink="">
      <xdr:nvSpPr>
        <xdr:cNvPr id="1629" name="Text Box 199">
          <a:extLst>
            <a:ext uri="{FF2B5EF4-FFF2-40B4-BE49-F238E27FC236}">
              <a16:creationId xmlns:a16="http://schemas.microsoft.com/office/drawing/2014/main" id="{00000000-0008-0000-0F00-00005D06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9</xdr:row>
      <xdr:rowOff>0</xdr:rowOff>
    </xdr:from>
    <xdr:ext cx="123825" cy="934660"/>
    <xdr:sp macro="" textlink="">
      <xdr:nvSpPr>
        <xdr:cNvPr id="1630" name="Text Box 200">
          <a:extLst>
            <a:ext uri="{FF2B5EF4-FFF2-40B4-BE49-F238E27FC236}">
              <a16:creationId xmlns:a16="http://schemas.microsoft.com/office/drawing/2014/main" id="{00000000-0008-0000-0F00-00005E06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9</xdr:row>
      <xdr:rowOff>0</xdr:rowOff>
    </xdr:from>
    <xdr:ext cx="123825" cy="934660"/>
    <xdr:sp macro="" textlink="">
      <xdr:nvSpPr>
        <xdr:cNvPr id="1631" name="Text Box 201">
          <a:extLst>
            <a:ext uri="{FF2B5EF4-FFF2-40B4-BE49-F238E27FC236}">
              <a16:creationId xmlns:a16="http://schemas.microsoft.com/office/drawing/2014/main" id="{00000000-0008-0000-0F00-00005F06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9</xdr:row>
      <xdr:rowOff>0</xdr:rowOff>
    </xdr:from>
    <xdr:ext cx="123825" cy="934660"/>
    <xdr:sp macro="" textlink="">
      <xdr:nvSpPr>
        <xdr:cNvPr id="1632" name="Text Box 202">
          <a:extLst>
            <a:ext uri="{FF2B5EF4-FFF2-40B4-BE49-F238E27FC236}">
              <a16:creationId xmlns:a16="http://schemas.microsoft.com/office/drawing/2014/main" id="{00000000-0008-0000-0F00-00006006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9</xdr:row>
      <xdr:rowOff>0</xdr:rowOff>
    </xdr:from>
    <xdr:ext cx="123825" cy="934660"/>
    <xdr:sp macro="" textlink="">
      <xdr:nvSpPr>
        <xdr:cNvPr id="1633" name="Text Box 203">
          <a:extLst>
            <a:ext uri="{FF2B5EF4-FFF2-40B4-BE49-F238E27FC236}">
              <a16:creationId xmlns:a16="http://schemas.microsoft.com/office/drawing/2014/main" id="{00000000-0008-0000-0F00-00006106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9</xdr:row>
      <xdr:rowOff>0</xdr:rowOff>
    </xdr:from>
    <xdr:ext cx="123825" cy="934660"/>
    <xdr:sp macro="" textlink="">
      <xdr:nvSpPr>
        <xdr:cNvPr id="1634" name="Text Box 204">
          <a:extLst>
            <a:ext uri="{FF2B5EF4-FFF2-40B4-BE49-F238E27FC236}">
              <a16:creationId xmlns:a16="http://schemas.microsoft.com/office/drawing/2014/main" id="{00000000-0008-0000-0F00-00006206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9</xdr:row>
      <xdr:rowOff>0</xdr:rowOff>
    </xdr:from>
    <xdr:ext cx="114300" cy="1048960"/>
    <xdr:sp macro="" textlink="">
      <xdr:nvSpPr>
        <xdr:cNvPr id="1635" name="Text Box 205">
          <a:extLst>
            <a:ext uri="{FF2B5EF4-FFF2-40B4-BE49-F238E27FC236}">
              <a16:creationId xmlns:a16="http://schemas.microsoft.com/office/drawing/2014/main" id="{00000000-0008-0000-0F00-000063060000}"/>
            </a:ext>
          </a:extLst>
        </xdr:cNvPr>
        <xdr:cNvSpPr txBox="1">
          <a:spLocks noChangeArrowheads="1"/>
        </xdr:cNvSpPr>
      </xdr:nvSpPr>
      <xdr:spPr bwMode="auto">
        <a:xfrm>
          <a:off x="3100917" y="4921250"/>
          <a:ext cx="114300" cy="1048960"/>
        </a:xfrm>
        <a:prstGeom prst="rect">
          <a:avLst/>
        </a:prstGeom>
        <a:noFill/>
        <a:ln w="9525">
          <a:noFill/>
          <a:miter lim="800000"/>
          <a:headEnd/>
          <a:tailEnd/>
        </a:ln>
      </xdr:spPr>
    </xdr:sp>
    <xdr:clientData/>
  </xdr:oneCellAnchor>
  <xdr:oneCellAnchor>
    <xdr:from>
      <xdr:col>4</xdr:col>
      <xdr:colOff>0</xdr:colOff>
      <xdr:row>9</xdr:row>
      <xdr:rowOff>0</xdr:rowOff>
    </xdr:from>
    <xdr:ext cx="114300" cy="1048960"/>
    <xdr:sp macro="" textlink="">
      <xdr:nvSpPr>
        <xdr:cNvPr id="1636" name="Text Box 206">
          <a:extLst>
            <a:ext uri="{FF2B5EF4-FFF2-40B4-BE49-F238E27FC236}">
              <a16:creationId xmlns:a16="http://schemas.microsoft.com/office/drawing/2014/main" id="{00000000-0008-0000-0F00-000064060000}"/>
            </a:ext>
          </a:extLst>
        </xdr:cNvPr>
        <xdr:cNvSpPr txBox="1">
          <a:spLocks noChangeArrowheads="1"/>
        </xdr:cNvSpPr>
      </xdr:nvSpPr>
      <xdr:spPr bwMode="auto">
        <a:xfrm>
          <a:off x="3100917" y="4921250"/>
          <a:ext cx="114300" cy="1048960"/>
        </a:xfrm>
        <a:prstGeom prst="rect">
          <a:avLst/>
        </a:prstGeom>
        <a:noFill/>
        <a:ln w="9525">
          <a:noFill/>
          <a:miter lim="800000"/>
          <a:headEnd/>
          <a:tailEnd/>
        </a:ln>
      </xdr:spPr>
    </xdr:sp>
    <xdr:clientData/>
  </xdr:oneCellAnchor>
  <xdr:oneCellAnchor>
    <xdr:from>
      <xdr:col>4</xdr:col>
      <xdr:colOff>0</xdr:colOff>
      <xdr:row>9</xdr:row>
      <xdr:rowOff>0</xdr:rowOff>
    </xdr:from>
    <xdr:ext cx="123825" cy="1048960"/>
    <xdr:sp macro="" textlink="">
      <xdr:nvSpPr>
        <xdr:cNvPr id="1637" name="Text Box 207">
          <a:extLst>
            <a:ext uri="{FF2B5EF4-FFF2-40B4-BE49-F238E27FC236}">
              <a16:creationId xmlns:a16="http://schemas.microsoft.com/office/drawing/2014/main" id="{00000000-0008-0000-0F00-00006506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9</xdr:row>
      <xdr:rowOff>0</xdr:rowOff>
    </xdr:from>
    <xdr:ext cx="123825" cy="1048960"/>
    <xdr:sp macro="" textlink="">
      <xdr:nvSpPr>
        <xdr:cNvPr id="1638" name="Text Box 208">
          <a:extLst>
            <a:ext uri="{FF2B5EF4-FFF2-40B4-BE49-F238E27FC236}">
              <a16:creationId xmlns:a16="http://schemas.microsoft.com/office/drawing/2014/main" id="{00000000-0008-0000-0F00-00006606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9</xdr:row>
      <xdr:rowOff>0</xdr:rowOff>
    </xdr:from>
    <xdr:ext cx="123825" cy="1048960"/>
    <xdr:sp macro="" textlink="">
      <xdr:nvSpPr>
        <xdr:cNvPr id="1639" name="Text Box 209">
          <a:extLst>
            <a:ext uri="{FF2B5EF4-FFF2-40B4-BE49-F238E27FC236}">
              <a16:creationId xmlns:a16="http://schemas.microsoft.com/office/drawing/2014/main" id="{00000000-0008-0000-0F00-00006706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9</xdr:row>
      <xdr:rowOff>0</xdr:rowOff>
    </xdr:from>
    <xdr:ext cx="123825" cy="1048960"/>
    <xdr:sp macro="" textlink="">
      <xdr:nvSpPr>
        <xdr:cNvPr id="1640" name="Text Box 210">
          <a:extLst>
            <a:ext uri="{FF2B5EF4-FFF2-40B4-BE49-F238E27FC236}">
              <a16:creationId xmlns:a16="http://schemas.microsoft.com/office/drawing/2014/main" id="{00000000-0008-0000-0F00-00006806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9</xdr:row>
      <xdr:rowOff>0</xdr:rowOff>
    </xdr:from>
    <xdr:ext cx="123825" cy="934660"/>
    <xdr:sp macro="" textlink="">
      <xdr:nvSpPr>
        <xdr:cNvPr id="1641" name="Text Box 211">
          <a:extLst>
            <a:ext uri="{FF2B5EF4-FFF2-40B4-BE49-F238E27FC236}">
              <a16:creationId xmlns:a16="http://schemas.microsoft.com/office/drawing/2014/main" id="{00000000-0008-0000-0F00-00006906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9</xdr:row>
      <xdr:rowOff>0</xdr:rowOff>
    </xdr:from>
    <xdr:ext cx="123825" cy="934660"/>
    <xdr:sp macro="" textlink="">
      <xdr:nvSpPr>
        <xdr:cNvPr id="1642" name="Text Box 212">
          <a:extLst>
            <a:ext uri="{FF2B5EF4-FFF2-40B4-BE49-F238E27FC236}">
              <a16:creationId xmlns:a16="http://schemas.microsoft.com/office/drawing/2014/main" id="{00000000-0008-0000-0F00-00006A06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9</xdr:row>
      <xdr:rowOff>0</xdr:rowOff>
    </xdr:from>
    <xdr:ext cx="123825" cy="934660"/>
    <xdr:sp macro="" textlink="">
      <xdr:nvSpPr>
        <xdr:cNvPr id="1643" name="Text Box 213">
          <a:extLst>
            <a:ext uri="{FF2B5EF4-FFF2-40B4-BE49-F238E27FC236}">
              <a16:creationId xmlns:a16="http://schemas.microsoft.com/office/drawing/2014/main" id="{00000000-0008-0000-0F00-00006B06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9</xdr:row>
      <xdr:rowOff>0</xdr:rowOff>
    </xdr:from>
    <xdr:ext cx="123825" cy="934660"/>
    <xdr:sp macro="" textlink="">
      <xdr:nvSpPr>
        <xdr:cNvPr id="1644" name="Text Box 214">
          <a:extLst>
            <a:ext uri="{FF2B5EF4-FFF2-40B4-BE49-F238E27FC236}">
              <a16:creationId xmlns:a16="http://schemas.microsoft.com/office/drawing/2014/main" id="{00000000-0008-0000-0F00-00006C06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45" name="Text Box 197">
          <a:extLst>
            <a:ext uri="{FF2B5EF4-FFF2-40B4-BE49-F238E27FC236}">
              <a16:creationId xmlns:a16="http://schemas.microsoft.com/office/drawing/2014/main" id="{00000000-0008-0000-0F00-00006D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46" name="Text Box 198">
          <a:extLst>
            <a:ext uri="{FF2B5EF4-FFF2-40B4-BE49-F238E27FC236}">
              <a16:creationId xmlns:a16="http://schemas.microsoft.com/office/drawing/2014/main" id="{00000000-0008-0000-0F00-00006E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47" name="Text Box 199">
          <a:extLst>
            <a:ext uri="{FF2B5EF4-FFF2-40B4-BE49-F238E27FC236}">
              <a16:creationId xmlns:a16="http://schemas.microsoft.com/office/drawing/2014/main" id="{00000000-0008-0000-0F00-00006F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48" name="Text Box 200">
          <a:extLst>
            <a:ext uri="{FF2B5EF4-FFF2-40B4-BE49-F238E27FC236}">
              <a16:creationId xmlns:a16="http://schemas.microsoft.com/office/drawing/2014/main" id="{00000000-0008-0000-0F00-000070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49" name="Text Box 201">
          <a:extLst>
            <a:ext uri="{FF2B5EF4-FFF2-40B4-BE49-F238E27FC236}">
              <a16:creationId xmlns:a16="http://schemas.microsoft.com/office/drawing/2014/main" id="{00000000-0008-0000-0F00-000071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50" name="Text Box 202">
          <a:extLst>
            <a:ext uri="{FF2B5EF4-FFF2-40B4-BE49-F238E27FC236}">
              <a16:creationId xmlns:a16="http://schemas.microsoft.com/office/drawing/2014/main" id="{00000000-0008-0000-0F00-000072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51" name="Text Box 203">
          <a:extLst>
            <a:ext uri="{FF2B5EF4-FFF2-40B4-BE49-F238E27FC236}">
              <a16:creationId xmlns:a16="http://schemas.microsoft.com/office/drawing/2014/main" id="{00000000-0008-0000-0F00-000073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52" name="Text Box 204">
          <a:extLst>
            <a:ext uri="{FF2B5EF4-FFF2-40B4-BE49-F238E27FC236}">
              <a16:creationId xmlns:a16="http://schemas.microsoft.com/office/drawing/2014/main" id="{00000000-0008-0000-0F00-000074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14300" cy="945696"/>
    <xdr:sp macro="" textlink="">
      <xdr:nvSpPr>
        <xdr:cNvPr id="1653" name="Text Box 205">
          <a:extLst>
            <a:ext uri="{FF2B5EF4-FFF2-40B4-BE49-F238E27FC236}">
              <a16:creationId xmlns:a16="http://schemas.microsoft.com/office/drawing/2014/main" id="{00000000-0008-0000-0F00-00007506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10</xdr:row>
      <xdr:rowOff>0</xdr:rowOff>
    </xdr:from>
    <xdr:ext cx="114300" cy="945696"/>
    <xdr:sp macro="" textlink="">
      <xdr:nvSpPr>
        <xdr:cNvPr id="1654" name="Text Box 206">
          <a:extLst>
            <a:ext uri="{FF2B5EF4-FFF2-40B4-BE49-F238E27FC236}">
              <a16:creationId xmlns:a16="http://schemas.microsoft.com/office/drawing/2014/main" id="{00000000-0008-0000-0F00-00007606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10</xdr:row>
      <xdr:rowOff>0</xdr:rowOff>
    </xdr:from>
    <xdr:ext cx="123825" cy="945696"/>
    <xdr:sp macro="" textlink="">
      <xdr:nvSpPr>
        <xdr:cNvPr id="1655" name="Text Box 207">
          <a:extLst>
            <a:ext uri="{FF2B5EF4-FFF2-40B4-BE49-F238E27FC236}">
              <a16:creationId xmlns:a16="http://schemas.microsoft.com/office/drawing/2014/main" id="{00000000-0008-0000-0F00-000077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10</xdr:row>
      <xdr:rowOff>0</xdr:rowOff>
    </xdr:from>
    <xdr:ext cx="123825" cy="945696"/>
    <xdr:sp macro="" textlink="">
      <xdr:nvSpPr>
        <xdr:cNvPr id="1656" name="Text Box 208">
          <a:extLst>
            <a:ext uri="{FF2B5EF4-FFF2-40B4-BE49-F238E27FC236}">
              <a16:creationId xmlns:a16="http://schemas.microsoft.com/office/drawing/2014/main" id="{00000000-0008-0000-0F00-000078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10</xdr:row>
      <xdr:rowOff>0</xdr:rowOff>
    </xdr:from>
    <xdr:ext cx="123825" cy="945696"/>
    <xdr:sp macro="" textlink="">
      <xdr:nvSpPr>
        <xdr:cNvPr id="1657" name="Text Box 209">
          <a:extLst>
            <a:ext uri="{FF2B5EF4-FFF2-40B4-BE49-F238E27FC236}">
              <a16:creationId xmlns:a16="http://schemas.microsoft.com/office/drawing/2014/main" id="{00000000-0008-0000-0F00-000079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10</xdr:row>
      <xdr:rowOff>0</xdr:rowOff>
    </xdr:from>
    <xdr:ext cx="123825" cy="945696"/>
    <xdr:sp macro="" textlink="">
      <xdr:nvSpPr>
        <xdr:cNvPr id="1658" name="Text Box 210">
          <a:extLst>
            <a:ext uri="{FF2B5EF4-FFF2-40B4-BE49-F238E27FC236}">
              <a16:creationId xmlns:a16="http://schemas.microsoft.com/office/drawing/2014/main" id="{00000000-0008-0000-0F00-00007A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59" name="Text Box 211">
          <a:extLst>
            <a:ext uri="{FF2B5EF4-FFF2-40B4-BE49-F238E27FC236}">
              <a16:creationId xmlns:a16="http://schemas.microsoft.com/office/drawing/2014/main" id="{00000000-0008-0000-0F00-00007B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60" name="Text Box 212">
          <a:extLst>
            <a:ext uri="{FF2B5EF4-FFF2-40B4-BE49-F238E27FC236}">
              <a16:creationId xmlns:a16="http://schemas.microsoft.com/office/drawing/2014/main" id="{00000000-0008-0000-0F00-00007C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61" name="Text Box 213">
          <a:extLst>
            <a:ext uri="{FF2B5EF4-FFF2-40B4-BE49-F238E27FC236}">
              <a16:creationId xmlns:a16="http://schemas.microsoft.com/office/drawing/2014/main" id="{00000000-0008-0000-0F00-00007D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831396"/>
    <xdr:sp macro="" textlink="">
      <xdr:nvSpPr>
        <xdr:cNvPr id="1662" name="Text Box 214">
          <a:extLst>
            <a:ext uri="{FF2B5EF4-FFF2-40B4-BE49-F238E27FC236}">
              <a16:creationId xmlns:a16="http://schemas.microsoft.com/office/drawing/2014/main" id="{00000000-0008-0000-0F00-00007E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940252"/>
    <xdr:sp macro="" textlink="">
      <xdr:nvSpPr>
        <xdr:cNvPr id="1663" name="Text Box 197">
          <a:extLst>
            <a:ext uri="{FF2B5EF4-FFF2-40B4-BE49-F238E27FC236}">
              <a16:creationId xmlns:a16="http://schemas.microsoft.com/office/drawing/2014/main" id="{00000000-0008-0000-0F00-00007F06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9</xdr:row>
      <xdr:rowOff>0</xdr:rowOff>
    </xdr:from>
    <xdr:ext cx="123825" cy="940252"/>
    <xdr:sp macro="" textlink="">
      <xdr:nvSpPr>
        <xdr:cNvPr id="1664" name="Text Box 198">
          <a:extLst>
            <a:ext uri="{FF2B5EF4-FFF2-40B4-BE49-F238E27FC236}">
              <a16:creationId xmlns:a16="http://schemas.microsoft.com/office/drawing/2014/main" id="{00000000-0008-0000-0F00-00008006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9</xdr:row>
      <xdr:rowOff>0</xdr:rowOff>
    </xdr:from>
    <xdr:ext cx="123825" cy="940252"/>
    <xdr:sp macro="" textlink="">
      <xdr:nvSpPr>
        <xdr:cNvPr id="1665" name="Text Box 199">
          <a:extLst>
            <a:ext uri="{FF2B5EF4-FFF2-40B4-BE49-F238E27FC236}">
              <a16:creationId xmlns:a16="http://schemas.microsoft.com/office/drawing/2014/main" id="{00000000-0008-0000-0F00-00008106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9</xdr:row>
      <xdr:rowOff>0</xdr:rowOff>
    </xdr:from>
    <xdr:ext cx="123825" cy="940252"/>
    <xdr:sp macro="" textlink="">
      <xdr:nvSpPr>
        <xdr:cNvPr id="1666" name="Text Box 200">
          <a:extLst>
            <a:ext uri="{FF2B5EF4-FFF2-40B4-BE49-F238E27FC236}">
              <a16:creationId xmlns:a16="http://schemas.microsoft.com/office/drawing/2014/main" id="{00000000-0008-0000-0F00-00008206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9</xdr:row>
      <xdr:rowOff>0</xdr:rowOff>
    </xdr:from>
    <xdr:ext cx="123825" cy="940252"/>
    <xdr:sp macro="" textlink="">
      <xdr:nvSpPr>
        <xdr:cNvPr id="1667" name="Text Box 201">
          <a:extLst>
            <a:ext uri="{FF2B5EF4-FFF2-40B4-BE49-F238E27FC236}">
              <a16:creationId xmlns:a16="http://schemas.microsoft.com/office/drawing/2014/main" id="{00000000-0008-0000-0F00-00008306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9</xdr:row>
      <xdr:rowOff>0</xdr:rowOff>
    </xdr:from>
    <xdr:ext cx="123825" cy="940252"/>
    <xdr:sp macro="" textlink="">
      <xdr:nvSpPr>
        <xdr:cNvPr id="1668" name="Text Box 202">
          <a:extLst>
            <a:ext uri="{FF2B5EF4-FFF2-40B4-BE49-F238E27FC236}">
              <a16:creationId xmlns:a16="http://schemas.microsoft.com/office/drawing/2014/main" id="{00000000-0008-0000-0F00-00008406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9</xdr:row>
      <xdr:rowOff>0</xdr:rowOff>
    </xdr:from>
    <xdr:ext cx="123825" cy="940252"/>
    <xdr:sp macro="" textlink="">
      <xdr:nvSpPr>
        <xdr:cNvPr id="1669" name="Text Box 203">
          <a:extLst>
            <a:ext uri="{FF2B5EF4-FFF2-40B4-BE49-F238E27FC236}">
              <a16:creationId xmlns:a16="http://schemas.microsoft.com/office/drawing/2014/main" id="{00000000-0008-0000-0F00-00008506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9</xdr:row>
      <xdr:rowOff>0</xdr:rowOff>
    </xdr:from>
    <xdr:ext cx="123825" cy="940252"/>
    <xdr:sp macro="" textlink="">
      <xdr:nvSpPr>
        <xdr:cNvPr id="1670" name="Text Box 204">
          <a:extLst>
            <a:ext uri="{FF2B5EF4-FFF2-40B4-BE49-F238E27FC236}">
              <a16:creationId xmlns:a16="http://schemas.microsoft.com/office/drawing/2014/main" id="{00000000-0008-0000-0F00-00008606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9</xdr:row>
      <xdr:rowOff>0</xdr:rowOff>
    </xdr:from>
    <xdr:ext cx="114300" cy="1054552"/>
    <xdr:sp macro="" textlink="">
      <xdr:nvSpPr>
        <xdr:cNvPr id="1671" name="Text Box 205">
          <a:extLst>
            <a:ext uri="{FF2B5EF4-FFF2-40B4-BE49-F238E27FC236}">
              <a16:creationId xmlns:a16="http://schemas.microsoft.com/office/drawing/2014/main" id="{00000000-0008-0000-0F00-000087060000}"/>
            </a:ext>
          </a:extLst>
        </xdr:cNvPr>
        <xdr:cNvSpPr txBox="1">
          <a:spLocks noChangeArrowheads="1"/>
        </xdr:cNvSpPr>
      </xdr:nvSpPr>
      <xdr:spPr bwMode="auto">
        <a:xfrm>
          <a:off x="4286250" y="4921250"/>
          <a:ext cx="114300" cy="1054552"/>
        </a:xfrm>
        <a:prstGeom prst="rect">
          <a:avLst/>
        </a:prstGeom>
        <a:noFill/>
        <a:ln w="9525">
          <a:noFill/>
          <a:miter lim="800000"/>
          <a:headEnd/>
          <a:tailEnd/>
        </a:ln>
      </xdr:spPr>
    </xdr:sp>
    <xdr:clientData/>
  </xdr:oneCellAnchor>
  <xdr:oneCellAnchor>
    <xdr:from>
      <xdr:col>7</xdr:col>
      <xdr:colOff>0</xdr:colOff>
      <xdr:row>9</xdr:row>
      <xdr:rowOff>0</xdr:rowOff>
    </xdr:from>
    <xdr:ext cx="114300" cy="1054552"/>
    <xdr:sp macro="" textlink="">
      <xdr:nvSpPr>
        <xdr:cNvPr id="1672" name="Text Box 206">
          <a:extLst>
            <a:ext uri="{FF2B5EF4-FFF2-40B4-BE49-F238E27FC236}">
              <a16:creationId xmlns:a16="http://schemas.microsoft.com/office/drawing/2014/main" id="{00000000-0008-0000-0F00-000088060000}"/>
            </a:ext>
          </a:extLst>
        </xdr:cNvPr>
        <xdr:cNvSpPr txBox="1">
          <a:spLocks noChangeArrowheads="1"/>
        </xdr:cNvSpPr>
      </xdr:nvSpPr>
      <xdr:spPr bwMode="auto">
        <a:xfrm>
          <a:off x="4286250" y="4921250"/>
          <a:ext cx="114300" cy="1054552"/>
        </a:xfrm>
        <a:prstGeom prst="rect">
          <a:avLst/>
        </a:prstGeom>
        <a:noFill/>
        <a:ln w="9525">
          <a:noFill/>
          <a:miter lim="800000"/>
          <a:headEnd/>
          <a:tailEnd/>
        </a:ln>
      </xdr:spPr>
    </xdr:sp>
    <xdr:clientData/>
  </xdr:oneCellAnchor>
  <xdr:oneCellAnchor>
    <xdr:from>
      <xdr:col>7</xdr:col>
      <xdr:colOff>0</xdr:colOff>
      <xdr:row>9</xdr:row>
      <xdr:rowOff>0</xdr:rowOff>
    </xdr:from>
    <xdr:ext cx="123825" cy="1054552"/>
    <xdr:sp macro="" textlink="">
      <xdr:nvSpPr>
        <xdr:cNvPr id="1673" name="Text Box 207">
          <a:extLst>
            <a:ext uri="{FF2B5EF4-FFF2-40B4-BE49-F238E27FC236}">
              <a16:creationId xmlns:a16="http://schemas.microsoft.com/office/drawing/2014/main" id="{00000000-0008-0000-0F00-00008906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9</xdr:row>
      <xdr:rowOff>0</xdr:rowOff>
    </xdr:from>
    <xdr:ext cx="123825" cy="1054552"/>
    <xdr:sp macro="" textlink="">
      <xdr:nvSpPr>
        <xdr:cNvPr id="1674" name="Text Box 208">
          <a:extLst>
            <a:ext uri="{FF2B5EF4-FFF2-40B4-BE49-F238E27FC236}">
              <a16:creationId xmlns:a16="http://schemas.microsoft.com/office/drawing/2014/main" id="{00000000-0008-0000-0F00-00008A06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9</xdr:row>
      <xdr:rowOff>0</xdr:rowOff>
    </xdr:from>
    <xdr:ext cx="123825" cy="1054552"/>
    <xdr:sp macro="" textlink="">
      <xdr:nvSpPr>
        <xdr:cNvPr id="1675" name="Text Box 209">
          <a:extLst>
            <a:ext uri="{FF2B5EF4-FFF2-40B4-BE49-F238E27FC236}">
              <a16:creationId xmlns:a16="http://schemas.microsoft.com/office/drawing/2014/main" id="{00000000-0008-0000-0F00-00008B06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9</xdr:row>
      <xdr:rowOff>0</xdr:rowOff>
    </xdr:from>
    <xdr:ext cx="123825" cy="1054552"/>
    <xdr:sp macro="" textlink="">
      <xdr:nvSpPr>
        <xdr:cNvPr id="1676" name="Text Box 210">
          <a:extLst>
            <a:ext uri="{FF2B5EF4-FFF2-40B4-BE49-F238E27FC236}">
              <a16:creationId xmlns:a16="http://schemas.microsoft.com/office/drawing/2014/main" id="{00000000-0008-0000-0F00-00008C06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9</xdr:row>
      <xdr:rowOff>0</xdr:rowOff>
    </xdr:from>
    <xdr:ext cx="123825" cy="940252"/>
    <xdr:sp macro="" textlink="">
      <xdr:nvSpPr>
        <xdr:cNvPr id="1677" name="Text Box 211">
          <a:extLst>
            <a:ext uri="{FF2B5EF4-FFF2-40B4-BE49-F238E27FC236}">
              <a16:creationId xmlns:a16="http://schemas.microsoft.com/office/drawing/2014/main" id="{00000000-0008-0000-0F00-00008D06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9</xdr:row>
      <xdr:rowOff>0</xdr:rowOff>
    </xdr:from>
    <xdr:ext cx="123825" cy="940252"/>
    <xdr:sp macro="" textlink="">
      <xdr:nvSpPr>
        <xdr:cNvPr id="1678" name="Text Box 212">
          <a:extLst>
            <a:ext uri="{FF2B5EF4-FFF2-40B4-BE49-F238E27FC236}">
              <a16:creationId xmlns:a16="http://schemas.microsoft.com/office/drawing/2014/main" id="{00000000-0008-0000-0F00-00008E06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9</xdr:row>
      <xdr:rowOff>0</xdr:rowOff>
    </xdr:from>
    <xdr:ext cx="123825" cy="940252"/>
    <xdr:sp macro="" textlink="">
      <xdr:nvSpPr>
        <xdr:cNvPr id="1679" name="Text Box 213">
          <a:extLst>
            <a:ext uri="{FF2B5EF4-FFF2-40B4-BE49-F238E27FC236}">
              <a16:creationId xmlns:a16="http://schemas.microsoft.com/office/drawing/2014/main" id="{00000000-0008-0000-0F00-00008F06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9</xdr:row>
      <xdr:rowOff>0</xdr:rowOff>
    </xdr:from>
    <xdr:ext cx="123825" cy="940252"/>
    <xdr:sp macro="" textlink="">
      <xdr:nvSpPr>
        <xdr:cNvPr id="1680" name="Text Box 214">
          <a:extLst>
            <a:ext uri="{FF2B5EF4-FFF2-40B4-BE49-F238E27FC236}">
              <a16:creationId xmlns:a16="http://schemas.microsoft.com/office/drawing/2014/main" id="{00000000-0008-0000-0F00-00009006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681" name="Text Box 197">
          <a:extLst>
            <a:ext uri="{FF2B5EF4-FFF2-40B4-BE49-F238E27FC236}">
              <a16:creationId xmlns:a16="http://schemas.microsoft.com/office/drawing/2014/main" id="{00000000-0008-0000-0F00-000091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682" name="Text Box 198">
          <a:extLst>
            <a:ext uri="{FF2B5EF4-FFF2-40B4-BE49-F238E27FC236}">
              <a16:creationId xmlns:a16="http://schemas.microsoft.com/office/drawing/2014/main" id="{00000000-0008-0000-0F00-000092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683" name="Text Box 199">
          <a:extLst>
            <a:ext uri="{FF2B5EF4-FFF2-40B4-BE49-F238E27FC236}">
              <a16:creationId xmlns:a16="http://schemas.microsoft.com/office/drawing/2014/main" id="{00000000-0008-0000-0F00-000093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684" name="Text Box 200">
          <a:extLst>
            <a:ext uri="{FF2B5EF4-FFF2-40B4-BE49-F238E27FC236}">
              <a16:creationId xmlns:a16="http://schemas.microsoft.com/office/drawing/2014/main" id="{00000000-0008-0000-0F00-000094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685" name="Text Box 201">
          <a:extLst>
            <a:ext uri="{FF2B5EF4-FFF2-40B4-BE49-F238E27FC236}">
              <a16:creationId xmlns:a16="http://schemas.microsoft.com/office/drawing/2014/main" id="{00000000-0008-0000-0F00-000095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686" name="Text Box 202">
          <a:extLst>
            <a:ext uri="{FF2B5EF4-FFF2-40B4-BE49-F238E27FC236}">
              <a16:creationId xmlns:a16="http://schemas.microsoft.com/office/drawing/2014/main" id="{00000000-0008-0000-0F00-000096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687" name="Text Box 203">
          <a:extLst>
            <a:ext uri="{FF2B5EF4-FFF2-40B4-BE49-F238E27FC236}">
              <a16:creationId xmlns:a16="http://schemas.microsoft.com/office/drawing/2014/main" id="{00000000-0008-0000-0F00-000097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688" name="Text Box 204">
          <a:extLst>
            <a:ext uri="{FF2B5EF4-FFF2-40B4-BE49-F238E27FC236}">
              <a16:creationId xmlns:a16="http://schemas.microsoft.com/office/drawing/2014/main" id="{00000000-0008-0000-0F00-000098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14300" cy="945696"/>
    <xdr:sp macro="" textlink="">
      <xdr:nvSpPr>
        <xdr:cNvPr id="1689" name="Text Box 205">
          <a:extLst>
            <a:ext uri="{FF2B5EF4-FFF2-40B4-BE49-F238E27FC236}">
              <a16:creationId xmlns:a16="http://schemas.microsoft.com/office/drawing/2014/main" id="{00000000-0008-0000-0F00-00009906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10</xdr:row>
      <xdr:rowOff>0</xdr:rowOff>
    </xdr:from>
    <xdr:ext cx="114300" cy="945696"/>
    <xdr:sp macro="" textlink="">
      <xdr:nvSpPr>
        <xdr:cNvPr id="1690" name="Text Box 206">
          <a:extLst>
            <a:ext uri="{FF2B5EF4-FFF2-40B4-BE49-F238E27FC236}">
              <a16:creationId xmlns:a16="http://schemas.microsoft.com/office/drawing/2014/main" id="{00000000-0008-0000-0F00-00009A06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10</xdr:row>
      <xdr:rowOff>0</xdr:rowOff>
    </xdr:from>
    <xdr:ext cx="123825" cy="945696"/>
    <xdr:sp macro="" textlink="">
      <xdr:nvSpPr>
        <xdr:cNvPr id="1691" name="Text Box 207">
          <a:extLst>
            <a:ext uri="{FF2B5EF4-FFF2-40B4-BE49-F238E27FC236}">
              <a16:creationId xmlns:a16="http://schemas.microsoft.com/office/drawing/2014/main" id="{00000000-0008-0000-0F00-00009B06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10</xdr:row>
      <xdr:rowOff>0</xdr:rowOff>
    </xdr:from>
    <xdr:ext cx="123825" cy="945696"/>
    <xdr:sp macro="" textlink="">
      <xdr:nvSpPr>
        <xdr:cNvPr id="1692" name="Text Box 208">
          <a:extLst>
            <a:ext uri="{FF2B5EF4-FFF2-40B4-BE49-F238E27FC236}">
              <a16:creationId xmlns:a16="http://schemas.microsoft.com/office/drawing/2014/main" id="{00000000-0008-0000-0F00-00009C06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10</xdr:row>
      <xdr:rowOff>0</xdr:rowOff>
    </xdr:from>
    <xdr:ext cx="123825" cy="945696"/>
    <xdr:sp macro="" textlink="">
      <xdr:nvSpPr>
        <xdr:cNvPr id="1693" name="Text Box 209">
          <a:extLst>
            <a:ext uri="{FF2B5EF4-FFF2-40B4-BE49-F238E27FC236}">
              <a16:creationId xmlns:a16="http://schemas.microsoft.com/office/drawing/2014/main" id="{00000000-0008-0000-0F00-00009D06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10</xdr:row>
      <xdr:rowOff>0</xdr:rowOff>
    </xdr:from>
    <xdr:ext cx="123825" cy="945696"/>
    <xdr:sp macro="" textlink="">
      <xdr:nvSpPr>
        <xdr:cNvPr id="1694" name="Text Box 210">
          <a:extLst>
            <a:ext uri="{FF2B5EF4-FFF2-40B4-BE49-F238E27FC236}">
              <a16:creationId xmlns:a16="http://schemas.microsoft.com/office/drawing/2014/main" id="{00000000-0008-0000-0F00-00009E06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695" name="Text Box 211">
          <a:extLst>
            <a:ext uri="{FF2B5EF4-FFF2-40B4-BE49-F238E27FC236}">
              <a16:creationId xmlns:a16="http://schemas.microsoft.com/office/drawing/2014/main" id="{00000000-0008-0000-0F00-00009F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696" name="Text Box 212">
          <a:extLst>
            <a:ext uri="{FF2B5EF4-FFF2-40B4-BE49-F238E27FC236}">
              <a16:creationId xmlns:a16="http://schemas.microsoft.com/office/drawing/2014/main" id="{00000000-0008-0000-0F00-0000A0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697" name="Text Box 213">
          <a:extLst>
            <a:ext uri="{FF2B5EF4-FFF2-40B4-BE49-F238E27FC236}">
              <a16:creationId xmlns:a16="http://schemas.microsoft.com/office/drawing/2014/main" id="{00000000-0008-0000-0F00-0000A1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698" name="Text Box 214">
          <a:extLst>
            <a:ext uri="{FF2B5EF4-FFF2-40B4-BE49-F238E27FC236}">
              <a16:creationId xmlns:a16="http://schemas.microsoft.com/office/drawing/2014/main" id="{00000000-0008-0000-0F00-0000A2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9</xdr:row>
      <xdr:rowOff>0</xdr:rowOff>
    </xdr:from>
    <xdr:ext cx="123825" cy="936171"/>
    <xdr:sp macro="" textlink="">
      <xdr:nvSpPr>
        <xdr:cNvPr id="1699" name="Text Box 197">
          <a:extLst>
            <a:ext uri="{FF2B5EF4-FFF2-40B4-BE49-F238E27FC236}">
              <a16:creationId xmlns:a16="http://schemas.microsoft.com/office/drawing/2014/main" id="{00000000-0008-0000-0F00-0000A306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9</xdr:row>
      <xdr:rowOff>0</xdr:rowOff>
    </xdr:from>
    <xdr:ext cx="123825" cy="936171"/>
    <xdr:sp macro="" textlink="">
      <xdr:nvSpPr>
        <xdr:cNvPr id="1700" name="Text Box 198">
          <a:extLst>
            <a:ext uri="{FF2B5EF4-FFF2-40B4-BE49-F238E27FC236}">
              <a16:creationId xmlns:a16="http://schemas.microsoft.com/office/drawing/2014/main" id="{00000000-0008-0000-0F00-0000A406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9</xdr:row>
      <xdr:rowOff>0</xdr:rowOff>
    </xdr:from>
    <xdr:ext cx="123825" cy="936171"/>
    <xdr:sp macro="" textlink="">
      <xdr:nvSpPr>
        <xdr:cNvPr id="1701" name="Text Box 199">
          <a:extLst>
            <a:ext uri="{FF2B5EF4-FFF2-40B4-BE49-F238E27FC236}">
              <a16:creationId xmlns:a16="http://schemas.microsoft.com/office/drawing/2014/main" id="{00000000-0008-0000-0F00-0000A506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9</xdr:row>
      <xdr:rowOff>0</xdr:rowOff>
    </xdr:from>
    <xdr:ext cx="123825" cy="936171"/>
    <xdr:sp macro="" textlink="">
      <xdr:nvSpPr>
        <xdr:cNvPr id="1702" name="Text Box 200">
          <a:extLst>
            <a:ext uri="{FF2B5EF4-FFF2-40B4-BE49-F238E27FC236}">
              <a16:creationId xmlns:a16="http://schemas.microsoft.com/office/drawing/2014/main" id="{00000000-0008-0000-0F00-0000A606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9</xdr:row>
      <xdr:rowOff>0</xdr:rowOff>
    </xdr:from>
    <xdr:ext cx="123825" cy="936171"/>
    <xdr:sp macro="" textlink="">
      <xdr:nvSpPr>
        <xdr:cNvPr id="1703" name="Text Box 201">
          <a:extLst>
            <a:ext uri="{FF2B5EF4-FFF2-40B4-BE49-F238E27FC236}">
              <a16:creationId xmlns:a16="http://schemas.microsoft.com/office/drawing/2014/main" id="{00000000-0008-0000-0F00-0000A706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9</xdr:row>
      <xdr:rowOff>0</xdr:rowOff>
    </xdr:from>
    <xdr:ext cx="123825" cy="936171"/>
    <xdr:sp macro="" textlink="">
      <xdr:nvSpPr>
        <xdr:cNvPr id="1704" name="Text Box 202">
          <a:extLst>
            <a:ext uri="{FF2B5EF4-FFF2-40B4-BE49-F238E27FC236}">
              <a16:creationId xmlns:a16="http://schemas.microsoft.com/office/drawing/2014/main" id="{00000000-0008-0000-0F00-0000A806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9</xdr:row>
      <xdr:rowOff>0</xdr:rowOff>
    </xdr:from>
    <xdr:ext cx="123825" cy="936171"/>
    <xdr:sp macro="" textlink="">
      <xdr:nvSpPr>
        <xdr:cNvPr id="1705" name="Text Box 203">
          <a:extLst>
            <a:ext uri="{FF2B5EF4-FFF2-40B4-BE49-F238E27FC236}">
              <a16:creationId xmlns:a16="http://schemas.microsoft.com/office/drawing/2014/main" id="{00000000-0008-0000-0F00-0000A906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9</xdr:row>
      <xdr:rowOff>0</xdr:rowOff>
    </xdr:from>
    <xdr:ext cx="123825" cy="936171"/>
    <xdr:sp macro="" textlink="">
      <xdr:nvSpPr>
        <xdr:cNvPr id="1706" name="Text Box 204">
          <a:extLst>
            <a:ext uri="{FF2B5EF4-FFF2-40B4-BE49-F238E27FC236}">
              <a16:creationId xmlns:a16="http://schemas.microsoft.com/office/drawing/2014/main" id="{00000000-0008-0000-0F00-0000AA06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9</xdr:row>
      <xdr:rowOff>0</xdr:rowOff>
    </xdr:from>
    <xdr:ext cx="114300" cy="1050471"/>
    <xdr:sp macro="" textlink="">
      <xdr:nvSpPr>
        <xdr:cNvPr id="1707" name="Text Box 205">
          <a:extLst>
            <a:ext uri="{FF2B5EF4-FFF2-40B4-BE49-F238E27FC236}">
              <a16:creationId xmlns:a16="http://schemas.microsoft.com/office/drawing/2014/main" id="{00000000-0008-0000-0F00-0000AB060000}"/>
            </a:ext>
          </a:extLst>
        </xdr:cNvPr>
        <xdr:cNvSpPr txBox="1">
          <a:spLocks noChangeArrowheads="1"/>
        </xdr:cNvSpPr>
      </xdr:nvSpPr>
      <xdr:spPr bwMode="auto">
        <a:xfrm>
          <a:off x="4286250" y="4921250"/>
          <a:ext cx="114300" cy="1050471"/>
        </a:xfrm>
        <a:prstGeom prst="rect">
          <a:avLst/>
        </a:prstGeom>
        <a:noFill/>
        <a:ln w="9525">
          <a:noFill/>
          <a:miter lim="800000"/>
          <a:headEnd/>
          <a:tailEnd/>
        </a:ln>
      </xdr:spPr>
    </xdr:sp>
    <xdr:clientData/>
  </xdr:oneCellAnchor>
  <xdr:oneCellAnchor>
    <xdr:from>
      <xdr:col>7</xdr:col>
      <xdr:colOff>0</xdr:colOff>
      <xdr:row>9</xdr:row>
      <xdr:rowOff>0</xdr:rowOff>
    </xdr:from>
    <xdr:ext cx="114300" cy="1050471"/>
    <xdr:sp macro="" textlink="">
      <xdr:nvSpPr>
        <xdr:cNvPr id="1708" name="Text Box 206">
          <a:extLst>
            <a:ext uri="{FF2B5EF4-FFF2-40B4-BE49-F238E27FC236}">
              <a16:creationId xmlns:a16="http://schemas.microsoft.com/office/drawing/2014/main" id="{00000000-0008-0000-0F00-0000AC060000}"/>
            </a:ext>
          </a:extLst>
        </xdr:cNvPr>
        <xdr:cNvSpPr txBox="1">
          <a:spLocks noChangeArrowheads="1"/>
        </xdr:cNvSpPr>
      </xdr:nvSpPr>
      <xdr:spPr bwMode="auto">
        <a:xfrm>
          <a:off x="4286250" y="4921250"/>
          <a:ext cx="114300" cy="1050471"/>
        </a:xfrm>
        <a:prstGeom prst="rect">
          <a:avLst/>
        </a:prstGeom>
        <a:noFill/>
        <a:ln w="9525">
          <a:noFill/>
          <a:miter lim="800000"/>
          <a:headEnd/>
          <a:tailEnd/>
        </a:ln>
      </xdr:spPr>
    </xdr:sp>
    <xdr:clientData/>
  </xdr:oneCellAnchor>
  <xdr:oneCellAnchor>
    <xdr:from>
      <xdr:col>7</xdr:col>
      <xdr:colOff>0</xdr:colOff>
      <xdr:row>9</xdr:row>
      <xdr:rowOff>0</xdr:rowOff>
    </xdr:from>
    <xdr:ext cx="123825" cy="1050471"/>
    <xdr:sp macro="" textlink="">
      <xdr:nvSpPr>
        <xdr:cNvPr id="1709" name="Text Box 207">
          <a:extLst>
            <a:ext uri="{FF2B5EF4-FFF2-40B4-BE49-F238E27FC236}">
              <a16:creationId xmlns:a16="http://schemas.microsoft.com/office/drawing/2014/main" id="{00000000-0008-0000-0F00-0000AD06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9</xdr:row>
      <xdr:rowOff>0</xdr:rowOff>
    </xdr:from>
    <xdr:ext cx="123825" cy="1050471"/>
    <xdr:sp macro="" textlink="">
      <xdr:nvSpPr>
        <xdr:cNvPr id="1710" name="Text Box 208">
          <a:extLst>
            <a:ext uri="{FF2B5EF4-FFF2-40B4-BE49-F238E27FC236}">
              <a16:creationId xmlns:a16="http://schemas.microsoft.com/office/drawing/2014/main" id="{00000000-0008-0000-0F00-0000AE06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9</xdr:row>
      <xdr:rowOff>0</xdr:rowOff>
    </xdr:from>
    <xdr:ext cx="123825" cy="1050471"/>
    <xdr:sp macro="" textlink="">
      <xdr:nvSpPr>
        <xdr:cNvPr id="1711" name="Text Box 209">
          <a:extLst>
            <a:ext uri="{FF2B5EF4-FFF2-40B4-BE49-F238E27FC236}">
              <a16:creationId xmlns:a16="http://schemas.microsoft.com/office/drawing/2014/main" id="{00000000-0008-0000-0F00-0000AF06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9</xdr:row>
      <xdr:rowOff>0</xdr:rowOff>
    </xdr:from>
    <xdr:ext cx="123825" cy="1050471"/>
    <xdr:sp macro="" textlink="">
      <xdr:nvSpPr>
        <xdr:cNvPr id="1712" name="Text Box 210">
          <a:extLst>
            <a:ext uri="{FF2B5EF4-FFF2-40B4-BE49-F238E27FC236}">
              <a16:creationId xmlns:a16="http://schemas.microsoft.com/office/drawing/2014/main" id="{00000000-0008-0000-0F00-0000B006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9</xdr:row>
      <xdr:rowOff>0</xdr:rowOff>
    </xdr:from>
    <xdr:ext cx="123825" cy="936171"/>
    <xdr:sp macro="" textlink="">
      <xdr:nvSpPr>
        <xdr:cNvPr id="1713" name="Text Box 211">
          <a:extLst>
            <a:ext uri="{FF2B5EF4-FFF2-40B4-BE49-F238E27FC236}">
              <a16:creationId xmlns:a16="http://schemas.microsoft.com/office/drawing/2014/main" id="{00000000-0008-0000-0F00-0000B106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9</xdr:row>
      <xdr:rowOff>0</xdr:rowOff>
    </xdr:from>
    <xdr:ext cx="123825" cy="936171"/>
    <xdr:sp macro="" textlink="">
      <xdr:nvSpPr>
        <xdr:cNvPr id="1714" name="Text Box 212">
          <a:extLst>
            <a:ext uri="{FF2B5EF4-FFF2-40B4-BE49-F238E27FC236}">
              <a16:creationId xmlns:a16="http://schemas.microsoft.com/office/drawing/2014/main" id="{00000000-0008-0000-0F00-0000B206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9</xdr:row>
      <xdr:rowOff>0</xdr:rowOff>
    </xdr:from>
    <xdr:ext cx="123825" cy="936171"/>
    <xdr:sp macro="" textlink="">
      <xdr:nvSpPr>
        <xdr:cNvPr id="1715" name="Text Box 213">
          <a:extLst>
            <a:ext uri="{FF2B5EF4-FFF2-40B4-BE49-F238E27FC236}">
              <a16:creationId xmlns:a16="http://schemas.microsoft.com/office/drawing/2014/main" id="{00000000-0008-0000-0F00-0000B306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9</xdr:row>
      <xdr:rowOff>0</xdr:rowOff>
    </xdr:from>
    <xdr:ext cx="123825" cy="936171"/>
    <xdr:sp macro="" textlink="">
      <xdr:nvSpPr>
        <xdr:cNvPr id="1716" name="Text Box 214">
          <a:extLst>
            <a:ext uri="{FF2B5EF4-FFF2-40B4-BE49-F238E27FC236}">
              <a16:creationId xmlns:a16="http://schemas.microsoft.com/office/drawing/2014/main" id="{00000000-0008-0000-0F00-0000B406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717" name="Text Box 197">
          <a:extLst>
            <a:ext uri="{FF2B5EF4-FFF2-40B4-BE49-F238E27FC236}">
              <a16:creationId xmlns:a16="http://schemas.microsoft.com/office/drawing/2014/main" id="{00000000-0008-0000-0F00-0000B5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718" name="Text Box 198">
          <a:extLst>
            <a:ext uri="{FF2B5EF4-FFF2-40B4-BE49-F238E27FC236}">
              <a16:creationId xmlns:a16="http://schemas.microsoft.com/office/drawing/2014/main" id="{00000000-0008-0000-0F00-0000B6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719" name="Text Box 199">
          <a:extLst>
            <a:ext uri="{FF2B5EF4-FFF2-40B4-BE49-F238E27FC236}">
              <a16:creationId xmlns:a16="http://schemas.microsoft.com/office/drawing/2014/main" id="{00000000-0008-0000-0F00-0000B7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720" name="Text Box 200">
          <a:extLst>
            <a:ext uri="{FF2B5EF4-FFF2-40B4-BE49-F238E27FC236}">
              <a16:creationId xmlns:a16="http://schemas.microsoft.com/office/drawing/2014/main" id="{00000000-0008-0000-0F00-0000B8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721" name="Text Box 201">
          <a:extLst>
            <a:ext uri="{FF2B5EF4-FFF2-40B4-BE49-F238E27FC236}">
              <a16:creationId xmlns:a16="http://schemas.microsoft.com/office/drawing/2014/main" id="{00000000-0008-0000-0F00-0000B9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722" name="Text Box 202">
          <a:extLst>
            <a:ext uri="{FF2B5EF4-FFF2-40B4-BE49-F238E27FC236}">
              <a16:creationId xmlns:a16="http://schemas.microsoft.com/office/drawing/2014/main" id="{00000000-0008-0000-0F00-0000BA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723" name="Text Box 203">
          <a:extLst>
            <a:ext uri="{FF2B5EF4-FFF2-40B4-BE49-F238E27FC236}">
              <a16:creationId xmlns:a16="http://schemas.microsoft.com/office/drawing/2014/main" id="{00000000-0008-0000-0F00-0000BB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724" name="Text Box 204">
          <a:extLst>
            <a:ext uri="{FF2B5EF4-FFF2-40B4-BE49-F238E27FC236}">
              <a16:creationId xmlns:a16="http://schemas.microsoft.com/office/drawing/2014/main" id="{00000000-0008-0000-0F00-0000BC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14300" cy="945696"/>
    <xdr:sp macro="" textlink="">
      <xdr:nvSpPr>
        <xdr:cNvPr id="1725" name="Text Box 205">
          <a:extLst>
            <a:ext uri="{FF2B5EF4-FFF2-40B4-BE49-F238E27FC236}">
              <a16:creationId xmlns:a16="http://schemas.microsoft.com/office/drawing/2014/main" id="{00000000-0008-0000-0F00-0000BD06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10</xdr:row>
      <xdr:rowOff>0</xdr:rowOff>
    </xdr:from>
    <xdr:ext cx="114300" cy="945696"/>
    <xdr:sp macro="" textlink="">
      <xdr:nvSpPr>
        <xdr:cNvPr id="1726" name="Text Box 206">
          <a:extLst>
            <a:ext uri="{FF2B5EF4-FFF2-40B4-BE49-F238E27FC236}">
              <a16:creationId xmlns:a16="http://schemas.microsoft.com/office/drawing/2014/main" id="{00000000-0008-0000-0F00-0000BE06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10</xdr:row>
      <xdr:rowOff>0</xdr:rowOff>
    </xdr:from>
    <xdr:ext cx="123825" cy="945696"/>
    <xdr:sp macro="" textlink="">
      <xdr:nvSpPr>
        <xdr:cNvPr id="1727" name="Text Box 207">
          <a:extLst>
            <a:ext uri="{FF2B5EF4-FFF2-40B4-BE49-F238E27FC236}">
              <a16:creationId xmlns:a16="http://schemas.microsoft.com/office/drawing/2014/main" id="{00000000-0008-0000-0F00-0000BF06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10</xdr:row>
      <xdr:rowOff>0</xdr:rowOff>
    </xdr:from>
    <xdr:ext cx="123825" cy="945696"/>
    <xdr:sp macro="" textlink="">
      <xdr:nvSpPr>
        <xdr:cNvPr id="1728" name="Text Box 208">
          <a:extLst>
            <a:ext uri="{FF2B5EF4-FFF2-40B4-BE49-F238E27FC236}">
              <a16:creationId xmlns:a16="http://schemas.microsoft.com/office/drawing/2014/main" id="{00000000-0008-0000-0F00-0000C006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10</xdr:row>
      <xdr:rowOff>0</xdr:rowOff>
    </xdr:from>
    <xdr:ext cx="123825" cy="945696"/>
    <xdr:sp macro="" textlink="">
      <xdr:nvSpPr>
        <xdr:cNvPr id="1729" name="Text Box 209">
          <a:extLst>
            <a:ext uri="{FF2B5EF4-FFF2-40B4-BE49-F238E27FC236}">
              <a16:creationId xmlns:a16="http://schemas.microsoft.com/office/drawing/2014/main" id="{00000000-0008-0000-0F00-0000C106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10</xdr:row>
      <xdr:rowOff>0</xdr:rowOff>
    </xdr:from>
    <xdr:ext cx="123825" cy="945696"/>
    <xdr:sp macro="" textlink="">
      <xdr:nvSpPr>
        <xdr:cNvPr id="1730" name="Text Box 210">
          <a:extLst>
            <a:ext uri="{FF2B5EF4-FFF2-40B4-BE49-F238E27FC236}">
              <a16:creationId xmlns:a16="http://schemas.microsoft.com/office/drawing/2014/main" id="{00000000-0008-0000-0F00-0000C206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731" name="Text Box 211">
          <a:extLst>
            <a:ext uri="{FF2B5EF4-FFF2-40B4-BE49-F238E27FC236}">
              <a16:creationId xmlns:a16="http://schemas.microsoft.com/office/drawing/2014/main" id="{00000000-0008-0000-0F00-0000C3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732" name="Text Box 212">
          <a:extLst>
            <a:ext uri="{FF2B5EF4-FFF2-40B4-BE49-F238E27FC236}">
              <a16:creationId xmlns:a16="http://schemas.microsoft.com/office/drawing/2014/main" id="{00000000-0008-0000-0F00-0000C4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733" name="Text Box 213">
          <a:extLst>
            <a:ext uri="{FF2B5EF4-FFF2-40B4-BE49-F238E27FC236}">
              <a16:creationId xmlns:a16="http://schemas.microsoft.com/office/drawing/2014/main" id="{00000000-0008-0000-0F00-0000C5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831396"/>
    <xdr:sp macro="" textlink="">
      <xdr:nvSpPr>
        <xdr:cNvPr id="1734" name="Text Box 214">
          <a:extLst>
            <a:ext uri="{FF2B5EF4-FFF2-40B4-BE49-F238E27FC236}">
              <a16:creationId xmlns:a16="http://schemas.microsoft.com/office/drawing/2014/main" id="{00000000-0008-0000-0F00-0000C606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35" name="Text Box 197">
          <a:extLst>
            <a:ext uri="{FF2B5EF4-FFF2-40B4-BE49-F238E27FC236}">
              <a16:creationId xmlns:a16="http://schemas.microsoft.com/office/drawing/2014/main" id="{00000000-0008-0000-0F00-0000C7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36" name="Text Box 198">
          <a:extLst>
            <a:ext uri="{FF2B5EF4-FFF2-40B4-BE49-F238E27FC236}">
              <a16:creationId xmlns:a16="http://schemas.microsoft.com/office/drawing/2014/main" id="{00000000-0008-0000-0F00-0000C8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37" name="Text Box 199">
          <a:extLst>
            <a:ext uri="{FF2B5EF4-FFF2-40B4-BE49-F238E27FC236}">
              <a16:creationId xmlns:a16="http://schemas.microsoft.com/office/drawing/2014/main" id="{00000000-0008-0000-0F00-0000C9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38" name="Text Box 200">
          <a:extLst>
            <a:ext uri="{FF2B5EF4-FFF2-40B4-BE49-F238E27FC236}">
              <a16:creationId xmlns:a16="http://schemas.microsoft.com/office/drawing/2014/main" id="{00000000-0008-0000-0F00-0000CA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39" name="Text Box 201">
          <a:extLst>
            <a:ext uri="{FF2B5EF4-FFF2-40B4-BE49-F238E27FC236}">
              <a16:creationId xmlns:a16="http://schemas.microsoft.com/office/drawing/2014/main" id="{00000000-0008-0000-0F00-0000CB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40" name="Text Box 202">
          <a:extLst>
            <a:ext uri="{FF2B5EF4-FFF2-40B4-BE49-F238E27FC236}">
              <a16:creationId xmlns:a16="http://schemas.microsoft.com/office/drawing/2014/main" id="{00000000-0008-0000-0F00-0000CC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41" name="Text Box 203">
          <a:extLst>
            <a:ext uri="{FF2B5EF4-FFF2-40B4-BE49-F238E27FC236}">
              <a16:creationId xmlns:a16="http://schemas.microsoft.com/office/drawing/2014/main" id="{00000000-0008-0000-0F00-0000CD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42" name="Text Box 204">
          <a:extLst>
            <a:ext uri="{FF2B5EF4-FFF2-40B4-BE49-F238E27FC236}">
              <a16:creationId xmlns:a16="http://schemas.microsoft.com/office/drawing/2014/main" id="{00000000-0008-0000-0F00-0000CE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14300" cy="945696"/>
    <xdr:sp macro="" textlink="">
      <xdr:nvSpPr>
        <xdr:cNvPr id="1743" name="Text Box 205">
          <a:extLst>
            <a:ext uri="{FF2B5EF4-FFF2-40B4-BE49-F238E27FC236}">
              <a16:creationId xmlns:a16="http://schemas.microsoft.com/office/drawing/2014/main" id="{00000000-0008-0000-0F00-0000CF06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10</xdr:row>
      <xdr:rowOff>0</xdr:rowOff>
    </xdr:from>
    <xdr:ext cx="114300" cy="945696"/>
    <xdr:sp macro="" textlink="">
      <xdr:nvSpPr>
        <xdr:cNvPr id="1744" name="Text Box 206">
          <a:extLst>
            <a:ext uri="{FF2B5EF4-FFF2-40B4-BE49-F238E27FC236}">
              <a16:creationId xmlns:a16="http://schemas.microsoft.com/office/drawing/2014/main" id="{00000000-0008-0000-0F00-0000D006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10</xdr:row>
      <xdr:rowOff>0</xdr:rowOff>
    </xdr:from>
    <xdr:ext cx="123825" cy="945696"/>
    <xdr:sp macro="" textlink="">
      <xdr:nvSpPr>
        <xdr:cNvPr id="1745" name="Text Box 207">
          <a:extLst>
            <a:ext uri="{FF2B5EF4-FFF2-40B4-BE49-F238E27FC236}">
              <a16:creationId xmlns:a16="http://schemas.microsoft.com/office/drawing/2014/main" id="{00000000-0008-0000-0F00-0000D1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10</xdr:row>
      <xdr:rowOff>0</xdr:rowOff>
    </xdr:from>
    <xdr:ext cx="123825" cy="945696"/>
    <xdr:sp macro="" textlink="">
      <xdr:nvSpPr>
        <xdr:cNvPr id="1746" name="Text Box 208">
          <a:extLst>
            <a:ext uri="{FF2B5EF4-FFF2-40B4-BE49-F238E27FC236}">
              <a16:creationId xmlns:a16="http://schemas.microsoft.com/office/drawing/2014/main" id="{00000000-0008-0000-0F00-0000D2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10</xdr:row>
      <xdr:rowOff>0</xdr:rowOff>
    </xdr:from>
    <xdr:ext cx="123825" cy="945696"/>
    <xdr:sp macro="" textlink="">
      <xdr:nvSpPr>
        <xdr:cNvPr id="1747" name="Text Box 209">
          <a:extLst>
            <a:ext uri="{FF2B5EF4-FFF2-40B4-BE49-F238E27FC236}">
              <a16:creationId xmlns:a16="http://schemas.microsoft.com/office/drawing/2014/main" id="{00000000-0008-0000-0F00-0000D3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10</xdr:row>
      <xdr:rowOff>0</xdr:rowOff>
    </xdr:from>
    <xdr:ext cx="123825" cy="945696"/>
    <xdr:sp macro="" textlink="">
      <xdr:nvSpPr>
        <xdr:cNvPr id="1748" name="Text Box 210">
          <a:extLst>
            <a:ext uri="{FF2B5EF4-FFF2-40B4-BE49-F238E27FC236}">
              <a16:creationId xmlns:a16="http://schemas.microsoft.com/office/drawing/2014/main" id="{00000000-0008-0000-0F00-0000D4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49" name="Text Box 211">
          <a:extLst>
            <a:ext uri="{FF2B5EF4-FFF2-40B4-BE49-F238E27FC236}">
              <a16:creationId xmlns:a16="http://schemas.microsoft.com/office/drawing/2014/main" id="{00000000-0008-0000-0F00-0000D5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50" name="Text Box 212">
          <a:extLst>
            <a:ext uri="{FF2B5EF4-FFF2-40B4-BE49-F238E27FC236}">
              <a16:creationId xmlns:a16="http://schemas.microsoft.com/office/drawing/2014/main" id="{00000000-0008-0000-0F00-0000D6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51" name="Text Box 213">
          <a:extLst>
            <a:ext uri="{FF2B5EF4-FFF2-40B4-BE49-F238E27FC236}">
              <a16:creationId xmlns:a16="http://schemas.microsoft.com/office/drawing/2014/main" id="{00000000-0008-0000-0F00-0000D7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52" name="Text Box 214">
          <a:extLst>
            <a:ext uri="{FF2B5EF4-FFF2-40B4-BE49-F238E27FC236}">
              <a16:creationId xmlns:a16="http://schemas.microsoft.com/office/drawing/2014/main" id="{00000000-0008-0000-0F00-0000D8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53" name="Text Box 197">
          <a:extLst>
            <a:ext uri="{FF2B5EF4-FFF2-40B4-BE49-F238E27FC236}">
              <a16:creationId xmlns:a16="http://schemas.microsoft.com/office/drawing/2014/main" id="{00000000-0008-0000-0F00-0000D9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54" name="Text Box 198">
          <a:extLst>
            <a:ext uri="{FF2B5EF4-FFF2-40B4-BE49-F238E27FC236}">
              <a16:creationId xmlns:a16="http://schemas.microsoft.com/office/drawing/2014/main" id="{00000000-0008-0000-0F00-0000DA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55" name="Text Box 199">
          <a:extLst>
            <a:ext uri="{FF2B5EF4-FFF2-40B4-BE49-F238E27FC236}">
              <a16:creationId xmlns:a16="http://schemas.microsoft.com/office/drawing/2014/main" id="{00000000-0008-0000-0F00-0000DB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56" name="Text Box 200">
          <a:extLst>
            <a:ext uri="{FF2B5EF4-FFF2-40B4-BE49-F238E27FC236}">
              <a16:creationId xmlns:a16="http://schemas.microsoft.com/office/drawing/2014/main" id="{00000000-0008-0000-0F00-0000DC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57" name="Text Box 201">
          <a:extLst>
            <a:ext uri="{FF2B5EF4-FFF2-40B4-BE49-F238E27FC236}">
              <a16:creationId xmlns:a16="http://schemas.microsoft.com/office/drawing/2014/main" id="{00000000-0008-0000-0F00-0000DD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58" name="Text Box 202">
          <a:extLst>
            <a:ext uri="{FF2B5EF4-FFF2-40B4-BE49-F238E27FC236}">
              <a16:creationId xmlns:a16="http://schemas.microsoft.com/office/drawing/2014/main" id="{00000000-0008-0000-0F00-0000DE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59" name="Text Box 203">
          <a:extLst>
            <a:ext uri="{FF2B5EF4-FFF2-40B4-BE49-F238E27FC236}">
              <a16:creationId xmlns:a16="http://schemas.microsoft.com/office/drawing/2014/main" id="{00000000-0008-0000-0F00-0000DF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60" name="Text Box 204">
          <a:extLst>
            <a:ext uri="{FF2B5EF4-FFF2-40B4-BE49-F238E27FC236}">
              <a16:creationId xmlns:a16="http://schemas.microsoft.com/office/drawing/2014/main" id="{00000000-0008-0000-0F00-0000E0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14300" cy="945696"/>
    <xdr:sp macro="" textlink="">
      <xdr:nvSpPr>
        <xdr:cNvPr id="1761" name="Text Box 205">
          <a:extLst>
            <a:ext uri="{FF2B5EF4-FFF2-40B4-BE49-F238E27FC236}">
              <a16:creationId xmlns:a16="http://schemas.microsoft.com/office/drawing/2014/main" id="{00000000-0008-0000-0F00-0000E106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10</xdr:row>
      <xdr:rowOff>0</xdr:rowOff>
    </xdr:from>
    <xdr:ext cx="114300" cy="945696"/>
    <xdr:sp macro="" textlink="">
      <xdr:nvSpPr>
        <xdr:cNvPr id="1762" name="Text Box 206">
          <a:extLst>
            <a:ext uri="{FF2B5EF4-FFF2-40B4-BE49-F238E27FC236}">
              <a16:creationId xmlns:a16="http://schemas.microsoft.com/office/drawing/2014/main" id="{00000000-0008-0000-0F00-0000E206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10</xdr:row>
      <xdr:rowOff>0</xdr:rowOff>
    </xdr:from>
    <xdr:ext cx="123825" cy="945696"/>
    <xdr:sp macro="" textlink="">
      <xdr:nvSpPr>
        <xdr:cNvPr id="1763" name="Text Box 207">
          <a:extLst>
            <a:ext uri="{FF2B5EF4-FFF2-40B4-BE49-F238E27FC236}">
              <a16:creationId xmlns:a16="http://schemas.microsoft.com/office/drawing/2014/main" id="{00000000-0008-0000-0F00-0000E3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10</xdr:row>
      <xdr:rowOff>0</xdr:rowOff>
    </xdr:from>
    <xdr:ext cx="123825" cy="945696"/>
    <xdr:sp macro="" textlink="">
      <xdr:nvSpPr>
        <xdr:cNvPr id="1764" name="Text Box 208">
          <a:extLst>
            <a:ext uri="{FF2B5EF4-FFF2-40B4-BE49-F238E27FC236}">
              <a16:creationId xmlns:a16="http://schemas.microsoft.com/office/drawing/2014/main" id="{00000000-0008-0000-0F00-0000E4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10</xdr:row>
      <xdr:rowOff>0</xdr:rowOff>
    </xdr:from>
    <xdr:ext cx="123825" cy="945696"/>
    <xdr:sp macro="" textlink="">
      <xdr:nvSpPr>
        <xdr:cNvPr id="1765" name="Text Box 209">
          <a:extLst>
            <a:ext uri="{FF2B5EF4-FFF2-40B4-BE49-F238E27FC236}">
              <a16:creationId xmlns:a16="http://schemas.microsoft.com/office/drawing/2014/main" id="{00000000-0008-0000-0F00-0000E5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10</xdr:row>
      <xdr:rowOff>0</xdr:rowOff>
    </xdr:from>
    <xdr:ext cx="123825" cy="945696"/>
    <xdr:sp macro="" textlink="">
      <xdr:nvSpPr>
        <xdr:cNvPr id="1766" name="Text Box 210">
          <a:extLst>
            <a:ext uri="{FF2B5EF4-FFF2-40B4-BE49-F238E27FC236}">
              <a16:creationId xmlns:a16="http://schemas.microsoft.com/office/drawing/2014/main" id="{00000000-0008-0000-0F00-0000E606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67" name="Text Box 211">
          <a:extLst>
            <a:ext uri="{FF2B5EF4-FFF2-40B4-BE49-F238E27FC236}">
              <a16:creationId xmlns:a16="http://schemas.microsoft.com/office/drawing/2014/main" id="{00000000-0008-0000-0F00-0000E7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68" name="Text Box 212">
          <a:extLst>
            <a:ext uri="{FF2B5EF4-FFF2-40B4-BE49-F238E27FC236}">
              <a16:creationId xmlns:a16="http://schemas.microsoft.com/office/drawing/2014/main" id="{00000000-0008-0000-0F00-0000E8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69" name="Text Box 213">
          <a:extLst>
            <a:ext uri="{FF2B5EF4-FFF2-40B4-BE49-F238E27FC236}">
              <a16:creationId xmlns:a16="http://schemas.microsoft.com/office/drawing/2014/main" id="{00000000-0008-0000-0F00-0000E9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10</xdr:row>
      <xdr:rowOff>0</xdr:rowOff>
    </xdr:from>
    <xdr:ext cx="123825" cy="831396"/>
    <xdr:sp macro="" textlink="">
      <xdr:nvSpPr>
        <xdr:cNvPr id="1770" name="Text Box 214">
          <a:extLst>
            <a:ext uri="{FF2B5EF4-FFF2-40B4-BE49-F238E27FC236}">
              <a16:creationId xmlns:a16="http://schemas.microsoft.com/office/drawing/2014/main" id="{00000000-0008-0000-0F00-0000EA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938741"/>
    <xdr:sp macro="" textlink="">
      <xdr:nvSpPr>
        <xdr:cNvPr id="1771" name="Text Box 197">
          <a:extLst>
            <a:ext uri="{FF2B5EF4-FFF2-40B4-BE49-F238E27FC236}">
              <a16:creationId xmlns:a16="http://schemas.microsoft.com/office/drawing/2014/main" id="{00000000-0008-0000-0F00-0000EB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10</xdr:row>
      <xdr:rowOff>0</xdr:rowOff>
    </xdr:from>
    <xdr:ext cx="123825" cy="938741"/>
    <xdr:sp macro="" textlink="">
      <xdr:nvSpPr>
        <xdr:cNvPr id="1772" name="Text Box 198">
          <a:extLst>
            <a:ext uri="{FF2B5EF4-FFF2-40B4-BE49-F238E27FC236}">
              <a16:creationId xmlns:a16="http://schemas.microsoft.com/office/drawing/2014/main" id="{00000000-0008-0000-0F00-0000EC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10</xdr:row>
      <xdr:rowOff>0</xdr:rowOff>
    </xdr:from>
    <xdr:ext cx="123825" cy="938741"/>
    <xdr:sp macro="" textlink="">
      <xdr:nvSpPr>
        <xdr:cNvPr id="1773" name="Text Box 199">
          <a:extLst>
            <a:ext uri="{FF2B5EF4-FFF2-40B4-BE49-F238E27FC236}">
              <a16:creationId xmlns:a16="http://schemas.microsoft.com/office/drawing/2014/main" id="{00000000-0008-0000-0F00-0000ED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10</xdr:row>
      <xdr:rowOff>0</xdr:rowOff>
    </xdr:from>
    <xdr:ext cx="123825" cy="938741"/>
    <xdr:sp macro="" textlink="">
      <xdr:nvSpPr>
        <xdr:cNvPr id="1774" name="Text Box 200">
          <a:extLst>
            <a:ext uri="{FF2B5EF4-FFF2-40B4-BE49-F238E27FC236}">
              <a16:creationId xmlns:a16="http://schemas.microsoft.com/office/drawing/2014/main" id="{00000000-0008-0000-0F00-0000EE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10</xdr:row>
      <xdr:rowOff>0</xdr:rowOff>
    </xdr:from>
    <xdr:ext cx="123825" cy="938741"/>
    <xdr:sp macro="" textlink="">
      <xdr:nvSpPr>
        <xdr:cNvPr id="1775" name="Text Box 201">
          <a:extLst>
            <a:ext uri="{FF2B5EF4-FFF2-40B4-BE49-F238E27FC236}">
              <a16:creationId xmlns:a16="http://schemas.microsoft.com/office/drawing/2014/main" id="{00000000-0008-0000-0F00-0000EF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10</xdr:row>
      <xdr:rowOff>0</xdr:rowOff>
    </xdr:from>
    <xdr:ext cx="123825" cy="938741"/>
    <xdr:sp macro="" textlink="">
      <xdr:nvSpPr>
        <xdr:cNvPr id="1776" name="Text Box 202">
          <a:extLst>
            <a:ext uri="{FF2B5EF4-FFF2-40B4-BE49-F238E27FC236}">
              <a16:creationId xmlns:a16="http://schemas.microsoft.com/office/drawing/2014/main" id="{00000000-0008-0000-0F00-0000F0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10</xdr:row>
      <xdr:rowOff>0</xdr:rowOff>
    </xdr:from>
    <xdr:ext cx="123825" cy="938741"/>
    <xdr:sp macro="" textlink="">
      <xdr:nvSpPr>
        <xdr:cNvPr id="1777" name="Text Box 203">
          <a:extLst>
            <a:ext uri="{FF2B5EF4-FFF2-40B4-BE49-F238E27FC236}">
              <a16:creationId xmlns:a16="http://schemas.microsoft.com/office/drawing/2014/main" id="{00000000-0008-0000-0F00-0000F1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10</xdr:row>
      <xdr:rowOff>0</xdr:rowOff>
    </xdr:from>
    <xdr:ext cx="123825" cy="938741"/>
    <xdr:sp macro="" textlink="">
      <xdr:nvSpPr>
        <xdr:cNvPr id="1778" name="Text Box 204">
          <a:extLst>
            <a:ext uri="{FF2B5EF4-FFF2-40B4-BE49-F238E27FC236}">
              <a16:creationId xmlns:a16="http://schemas.microsoft.com/office/drawing/2014/main" id="{00000000-0008-0000-0F00-0000F2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10</xdr:row>
      <xdr:rowOff>0</xdr:rowOff>
    </xdr:from>
    <xdr:ext cx="114300" cy="1053041"/>
    <xdr:sp macro="" textlink="">
      <xdr:nvSpPr>
        <xdr:cNvPr id="1779" name="Text Box 205">
          <a:extLst>
            <a:ext uri="{FF2B5EF4-FFF2-40B4-BE49-F238E27FC236}">
              <a16:creationId xmlns:a16="http://schemas.microsoft.com/office/drawing/2014/main" id="{00000000-0008-0000-0F00-0000F3060000}"/>
            </a:ext>
          </a:extLst>
        </xdr:cNvPr>
        <xdr:cNvSpPr txBox="1">
          <a:spLocks noChangeArrowheads="1"/>
        </xdr:cNvSpPr>
      </xdr:nvSpPr>
      <xdr:spPr bwMode="auto">
        <a:xfrm>
          <a:off x="3100917" y="4921250"/>
          <a:ext cx="114300" cy="1053041"/>
        </a:xfrm>
        <a:prstGeom prst="rect">
          <a:avLst/>
        </a:prstGeom>
        <a:noFill/>
        <a:ln w="9525">
          <a:noFill/>
          <a:miter lim="800000"/>
          <a:headEnd/>
          <a:tailEnd/>
        </a:ln>
      </xdr:spPr>
    </xdr:sp>
    <xdr:clientData/>
  </xdr:oneCellAnchor>
  <xdr:oneCellAnchor>
    <xdr:from>
      <xdr:col>4</xdr:col>
      <xdr:colOff>0</xdr:colOff>
      <xdr:row>10</xdr:row>
      <xdr:rowOff>0</xdr:rowOff>
    </xdr:from>
    <xdr:ext cx="114300" cy="1053041"/>
    <xdr:sp macro="" textlink="">
      <xdr:nvSpPr>
        <xdr:cNvPr id="1780" name="Text Box 206">
          <a:extLst>
            <a:ext uri="{FF2B5EF4-FFF2-40B4-BE49-F238E27FC236}">
              <a16:creationId xmlns:a16="http://schemas.microsoft.com/office/drawing/2014/main" id="{00000000-0008-0000-0F00-0000F4060000}"/>
            </a:ext>
          </a:extLst>
        </xdr:cNvPr>
        <xdr:cNvSpPr txBox="1">
          <a:spLocks noChangeArrowheads="1"/>
        </xdr:cNvSpPr>
      </xdr:nvSpPr>
      <xdr:spPr bwMode="auto">
        <a:xfrm>
          <a:off x="3100917" y="4921250"/>
          <a:ext cx="114300" cy="1053041"/>
        </a:xfrm>
        <a:prstGeom prst="rect">
          <a:avLst/>
        </a:prstGeom>
        <a:noFill/>
        <a:ln w="9525">
          <a:noFill/>
          <a:miter lim="800000"/>
          <a:headEnd/>
          <a:tailEnd/>
        </a:ln>
      </xdr:spPr>
    </xdr:sp>
    <xdr:clientData/>
  </xdr:oneCellAnchor>
  <xdr:oneCellAnchor>
    <xdr:from>
      <xdr:col>4</xdr:col>
      <xdr:colOff>0</xdr:colOff>
      <xdr:row>10</xdr:row>
      <xdr:rowOff>0</xdr:rowOff>
    </xdr:from>
    <xdr:ext cx="123825" cy="1053041"/>
    <xdr:sp macro="" textlink="">
      <xdr:nvSpPr>
        <xdr:cNvPr id="1781" name="Text Box 207">
          <a:extLst>
            <a:ext uri="{FF2B5EF4-FFF2-40B4-BE49-F238E27FC236}">
              <a16:creationId xmlns:a16="http://schemas.microsoft.com/office/drawing/2014/main" id="{00000000-0008-0000-0F00-0000F506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10</xdr:row>
      <xdr:rowOff>0</xdr:rowOff>
    </xdr:from>
    <xdr:ext cx="123825" cy="1053041"/>
    <xdr:sp macro="" textlink="">
      <xdr:nvSpPr>
        <xdr:cNvPr id="1782" name="Text Box 208">
          <a:extLst>
            <a:ext uri="{FF2B5EF4-FFF2-40B4-BE49-F238E27FC236}">
              <a16:creationId xmlns:a16="http://schemas.microsoft.com/office/drawing/2014/main" id="{00000000-0008-0000-0F00-0000F606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10</xdr:row>
      <xdr:rowOff>0</xdr:rowOff>
    </xdr:from>
    <xdr:ext cx="123825" cy="1053041"/>
    <xdr:sp macro="" textlink="">
      <xdr:nvSpPr>
        <xdr:cNvPr id="1783" name="Text Box 209">
          <a:extLst>
            <a:ext uri="{FF2B5EF4-FFF2-40B4-BE49-F238E27FC236}">
              <a16:creationId xmlns:a16="http://schemas.microsoft.com/office/drawing/2014/main" id="{00000000-0008-0000-0F00-0000F706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10</xdr:row>
      <xdr:rowOff>0</xdr:rowOff>
    </xdr:from>
    <xdr:ext cx="123825" cy="1053041"/>
    <xdr:sp macro="" textlink="">
      <xdr:nvSpPr>
        <xdr:cNvPr id="1784" name="Text Box 210">
          <a:extLst>
            <a:ext uri="{FF2B5EF4-FFF2-40B4-BE49-F238E27FC236}">
              <a16:creationId xmlns:a16="http://schemas.microsoft.com/office/drawing/2014/main" id="{00000000-0008-0000-0F00-0000F806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10</xdr:row>
      <xdr:rowOff>0</xdr:rowOff>
    </xdr:from>
    <xdr:ext cx="123825" cy="938741"/>
    <xdr:sp macro="" textlink="">
      <xdr:nvSpPr>
        <xdr:cNvPr id="1785" name="Text Box 211">
          <a:extLst>
            <a:ext uri="{FF2B5EF4-FFF2-40B4-BE49-F238E27FC236}">
              <a16:creationId xmlns:a16="http://schemas.microsoft.com/office/drawing/2014/main" id="{00000000-0008-0000-0F00-0000F9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10</xdr:row>
      <xdr:rowOff>0</xdr:rowOff>
    </xdr:from>
    <xdr:ext cx="123825" cy="938741"/>
    <xdr:sp macro="" textlink="">
      <xdr:nvSpPr>
        <xdr:cNvPr id="1786" name="Text Box 212">
          <a:extLst>
            <a:ext uri="{FF2B5EF4-FFF2-40B4-BE49-F238E27FC236}">
              <a16:creationId xmlns:a16="http://schemas.microsoft.com/office/drawing/2014/main" id="{00000000-0008-0000-0F00-0000FA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10</xdr:row>
      <xdr:rowOff>0</xdr:rowOff>
    </xdr:from>
    <xdr:ext cx="123825" cy="938741"/>
    <xdr:sp macro="" textlink="">
      <xdr:nvSpPr>
        <xdr:cNvPr id="1787" name="Text Box 213">
          <a:extLst>
            <a:ext uri="{FF2B5EF4-FFF2-40B4-BE49-F238E27FC236}">
              <a16:creationId xmlns:a16="http://schemas.microsoft.com/office/drawing/2014/main" id="{00000000-0008-0000-0F00-0000FB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10</xdr:row>
      <xdr:rowOff>0</xdr:rowOff>
    </xdr:from>
    <xdr:ext cx="123825" cy="938741"/>
    <xdr:sp macro="" textlink="">
      <xdr:nvSpPr>
        <xdr:cNvPr id="1788" name="Text Box 214">
          <a:extLst>
            <a:ext uri="{FF2B5EF4-FFF2-40B4-BE49-F238E27FC236}">
              <a16:creationId xmlns:a16="http://schemas.microsoft.com/office/drawing/2014/main" id="{00000000-0008-0000-0F00-0000FC06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789" name="Text Box 197">
          <a:extLst>
            <a:ext uri="{FF2B5EF4-FFF2-40B4-BE49-F238E27FC236}">
              <a16:creationId xmlns:a16="http://schemas.microsoft.com/office/drawing/2014/main" id="{00000000-0008-0000-0F00-0000FD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790" name="Text Box 198">
          <a:extLst>
            <a:ext uri="{FF2B5EF4-FFF2-40B4-BE49-F238E27FC236}">
              <a16:creationId xmlns:a16="http://schemas.microsoft.com/office/drawing/2014/main" id="{00000000-0008-0000-0F00-0000FE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791" name="Text Box 199">
          <a:extLst>
            <a:ext uri="{FF2B5EF4-FFF2-40B4-BE49-F238E27FC236}">
              <a16:creationId xmlns:a16="http://schemas.microsoft.com/office/drawing/2014/main" id="{00000000-0008-0000-0F00-0000FF06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792" name="Text Box 200">
          <a:extLst>
            <a:ext uri="{FF2B5EF4-FFF2-40B4-BE49-F238E27FC236}">
              <a16:creationId xmlns:a16="http://schemas.microsoft.com/office/drawing/2014/main" id="{00000000-0008-0000-0F00-000000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793" name="Text Box 201">
          <a:extLst>
            <a:ext uri="{FF2B5EF4-FFF2-40B4-BE49-F238E27FC236}">
              <a16:creationId xmlns:a16="http://schemas.microsoft.com/office/drawing/2014/main" id="{00000000-0008-0000-0F00-000001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794" name="Text Box 202">
          <a:extLst>
            <a:ext uri="{FF2B5EF4-FFF2-40B4-BE49-F238E27FC236}">
              <a16:creationId xmlns:a16="http://schemas.microsoft.com/office/drawing/2014/main" id="{00000000-0008-0000-0F00-000002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795" name="Text Box 203">
          <a:extLst>
            <a:ext uri="{FF2B5EF4-FFF2-40B4-BE49-F238E27FC236}">
              <a16:creationId xmlns:a16="http://schemas.microsoft.com/office/drawing/2014/main" id="{00000000-0008-0000-0F00-000003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796" name="Text Box 204">
          <a:extLst>
            <a:ext uri="{FF2B5EF4-FFF2-40B4-BE49-F238E27FC236}">
              <a16:creationId xmlns:a16="http://schemas.microsoft.com/office/drawing/2014/main" id="{00000000-0008-0000-0F00-000004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14300" cy="945696"/>
    <xdr:sp macro="" textlink="">
      <xdr:nvSpPr>
        <xdr:cNvPr id="1797" name="Text Box 205">
          <a:extLst>
            <a:ext uri="{FF2B5EF4-FFF2-40B4-BE49-F238E27FC236}">
              <a16:creationId xmlns:a16="http://schemas.microsoft.com/office/drawing/2014/main" id="{00000000-0008-0000-0F00-00000507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11</xdr:row>
      <xdr:rowOff>0</xdr:rowOff>
    </xdr:from>
    <xdr:ext cx="114300" cy="945696"/>
    <xdr:sp macro="" textlink="">
      <xdr:nvSpPr>
        <xdr:cNvPr id="1798" name="Text Box 206">
          <a:extLst>
            <a:ext uri="{FF2B5EF4-FFF2-40B4-BE49-F238E27FC236}">
              <a16:creationId xmlns:a16="http://schemas.microsoft.com/office/drawing/2014/main" id="{00000000-0008-0000-0F00-00000607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11</xdr:row>
      <xdr:rowOff>0</xdr:rowOff>
    </xdr:from>
    <xdr:ext cx="123825" cy="945696"/>
    <xdr:sp macro="" textlink="">
      <xdr:nvSpPr>
        <xdr:cNvPr id="1799" name="Text Box 207">
          <a:extLst>
            <a:ext uri="{FF2B5EF4-FFF2-40B4-BE49-F238E27FC236}">
              <a16:creationId xmlns:a16="http://schemas.microsoft.com/office/drawing/2014/main" id="{00000000-0008-0000-0F00-000007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11</xdr:row>
      <xdr:rowOff>0</xdr:rowOff>
    </xdr:from>
    <xdr:ext cx="123825" cy="945696"/>
    <xdr:sp macro="" textlink="">
      <xdr:nvSpPr>
        <xdr:cNvPr id="1800" name="Text Box 208">
          <a:extLst>
            <a:ext uri="{FF2B5EF4-FFF2-40B4-BE49-F238E27FC236}">
              <a16:creationId xmlns:a16="http://schemas.microsoft.com/office/drawing/2014/main" id="{00000000-0008-0000-0F00-000008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11</xdr:row>
      <xdr:rowOff>0</xdr:rowOff>
    </xdr:from>
    <xdr:ext cx="123825" cy="945696"/>
    <xdr:sp macro="" textlink="">
      <xdr:nvSpPr>
        <xdr:cNvPr id="1801" name="Text Box 209">
          <a:extLst>
            <a:ext uri="{FF2B5EF4-FFF2-40B4-BE49-F238E27FC236}">
              <a16:creationId xmlns:a16="http://schemas.microsoft.com/office/drawing/2014/main" id="{00000000-0008-0000-0F00-000009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11</xdr:row>
      <xdr:rowOff>0</xdr:rowOff>
    </xdr:from>
    <xdr:ext cx="123825" cy="945696"/>
    <xdr:sp macro="" textlink="">
      <xdr:nvSpPr>
        <xdr:cNvPr id="1802" name="Text Box 210">
          <a:extLst>
            <a:ext uri="{FF2B5EF4-FFF2-40B4-BE49-F238E27FC236}">
              <a16:creationId xmlns:a16="http://schemas.microsoft.com/office/drawing/2014/main" id="{00000000-0008-0000-0F00-00000A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03" name="Text Box 211">
          <a:extLst>
            <a:ext uri="{FF2B5EF4-FFF2-40B4-BE49-F238E27FC236}">
              <a16:creationId xmlns:a16="http://schemas.microsoft.com/office/drawing/2014/main" id="{00000000-0008-0000-0F00-00000B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04" name="Text Box 212">
          <a:extLst>
            <a:ext uri="{FF2B5EF4-FFF2-40B4-BE49-F238E27FC236}">
              <a16:creationId xmlns:a16="http://schemas.microsoft.com/office/drawing/2014/main" id="{00000000-0008-0000-0F00-00000C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05" name="Text Box 213">
          <a:extLst>
            <a:ext uri="{FF2B5EF4-FFF2-40B4-BE49-F238E27FC236}">
              <a16:creationId xmlns:a16="http://schemas.microsoft.com/office/drawing/2014/main" id="{00000000-0008-0000-0F00-00000D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06" name="Text Box 214">
          <a:extLst>
            <a:ext uri="{FF2B5EF4-FFF2-40B4-BE49-F238E27FC236}">
              <a16:creationId xmlns:a16="http://schemas.microsoft.com/office/drawing/2014/main" id="{00000000-0008-0000-0F00-00000E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10</xdr:row>
      <xdr:rowOff>0</xdr:rowOff>
    </xdr:from>
    <xdr:ext cx="123825" cy="934660"/>
    <xdr:sp macro="" textlink="">
      <xdr:nvSpPr>
        <xdr:cNvPr id="1807" name="Text Box 197">
          <a:extLst>
            <a:ext uri="{FF2B5EF4-FFF2-40B4-BE49-F238E27FC236}">
              <a16:creationId xmlns:a16="http://schemas.microsoft.com/office/drawing/2014/main" id="{00000000-0008-0000-0F00-00000F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10</xdr:row>
      <xdr:rowOff>0</xdr:rowOff>
    </xdr:from>
    <xdr:ext cx="123825" cy="934660"/>
    <xdr:sp macro="" textlink="">
      <xdr:nvSpPr>
        <xdr:cNvPr id="1808" name="Text Box 198">
          <a:extLst>
            <a:ext uri="{FF2B5EF4-FFF2-40B4-BE49-F238E27FC236}">
              <a16:creationId xmlns:a16="http://schemas.microsoft.com/office/drawing/2014/main" id="{00000000-0008-0000-0F00-000010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10</xdr:row>
      <xdr:rowOff>0</xdr:rowOff>
    </xdr:from>
    <xdr:ext cx="123825" cy="934660"/>
    <xdr:sp macro="" textlink="">
      <xdr:nvSpPr>
        <xdr:cNvPr id="1809" name="Text Box 199">
          <a:extLst>
            <a:ext uri="{FF2B5EF4-FFF2-40B4-BE49-F238E27FC236}">
              <a16:creationId xmlns:a16="http://schemas.microsoft.com/office/drawing/2014/main" id="{00000000-0008-0000-0F00-000011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10</xdr:row>
      <xdr:rowOff>0</xdr:rowOff>
    </xdr:from>
    <xdr:ext cx="123825" cy="934660"/>
    <xdr:sp macro="" textlink="">
      <xdr:nvSpPr>
        <xdr:cNvPr id="1810" name="Text Box 200">
          <a:extLst>
            <a:ext uri="{FF2B5EF4-FFF2-40B4-BE49-F238E27FC236}">
              <a16:creationId xmlns:a16="http://schemas.microsoft.com/office/drawing/2014/main" id="{00000000-0008-0000-0F00-000012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10</xdr:row>
      <xdr:rowOff>0</xdr:rowOff>
    </xdr:from>
    <xdr:ext cx="123825" cy="934660"/>
    <xdr:sp macro="" textlink="">
      <xdr:nvSpPr>
        <xdr:cNvPr id="1811" name="Text Box 201">
          <a:extLst>
            <a:ext uri="{FF2B5EF4-FFF2-40B4-BE49-F238E27FC236}">
              <a16:creationId xmlns:a16="http://schemas.microsoft.com/office/drawing/2014/main" id="{00000000-0008-0000-0F00-000013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10</xdr:row>
      <xdr:rowOff>0</xdr:rowOff>
    </xdr:from>
    <xdr:ext cx="123825" cy="934660"/>
    <xdr:sp macro="" textlink="">
      <xdr:nvSpPr>
        <xdr:cNvPr id="1812" name="Text Box 202">
          <a:extLst>
            <a:ext uri="{FF2B5EF4-FFF2-40B4-BE49-F238E27FC236}">
              <a16:creationId xmlns:a16="http://schemas.microsoft.com/office/drawing/2014/main" id="{00000000-0008-0000-0F00-000014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10</xdr:row>
      <xdr:rowOff>0</xdr:rowOff>
    </xdr:from>
    <xdr:ext cx="123825" cy="934660"/>
    <xdr:sp macro="" textlink="">
      <xdr:nvSpPr>
        <xdr:cNvPr id="1813" name="Text Box 203">
          <a:extLst>
            <a:ext uri="{FF2B5EF4-FFF2-40B4-BE49-F238E27FC236}">
              <a16:creationId xmlns:a16="http://schemas.microsoft.com/office/drawing/2014/main" id="{00000000-0008-0000-0F00-000015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10</xdr:row>
      <xdr:rowOff>0</xdr:rowOff>
    </xdr:from>
    <xdr:ext cx="123825" cy="934660"/>
    <xdr:sp macro="" textlink="">
      <xdr:nvSpPr>
        <xdr:cNvPr id="1814" name="Text Box 204">
          <a:extLst>
            <a:ext uri="{FF2B5EF4-FFF2-40B4-BE49-F238E27FC236}">
              <a16:creationId xmlns:a16="http://schemas.microsoft.com/office/drawing/2014/main" id="{00000000-0008-0000-0F00-000016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10</xdr:row>
      <xdr:rowOff>0</xdr:rowOff>
    </xdr:from>
    <xdr:ext cx="114300" cy="1048960"/>
    <xdr:sp macro="" textlink="">
      <xdr:nvSpPr>
        <xdr:cNvPr id="1815" name="Text Box 205">
          <a:extLst>
            <a:ext uri="{FF2B5EF4-FFF2-40B4-BE49-F238E27FC236}">
              <a16:creationId xmlns:a16="http://schemas.microsoft.com/office/drawing/2014/main" id="{00000000-0008-0000-0F00-000017070000}"/>
            </a:ext>
          </a:extLst>
        </xdr:cNvPr>
        <xdr:cNvSpPr txBox="1">
          <a:spLocks noChangeArrowheads="1"/>
        </xdr:cNvSpPr>
      </xdr:nvSpPr>
      <xdr:spPr bwMode="auto">
        <a:xfrm>
          <a:off x="3100917" y="4921250"/>
          <a:ext cx="114300" cy="1048960"/>
        </a:xfrm>
        <a:prstGeom prst="rect">
          <a:avLst/>
        </a:prstGeom>
        <a:noFill/>
        <a:ln w="9525">
          <a:noFill/>
          <a:miter lim="800000"/>
          <a:headEnd/>
          <a:tailEnd/>
        </a:ln>
      </xdr:spPr>
    </xdr:sp>
    <xdr:clientData/>
  </xdr:oneCellAnchor>
  <xdr:oneCellAnchor>
    <xdr:from>
      <xdr:col>4</xdr:col>
      <xdr:colOff>0</xdr:colOff>
      <xdr:row>10</xdr:row>
      <xdr:rowOff>0</xdr:rowOff>
    </xdr:from>
    <xdr:ext cx="114300" cy="1048960"/>
    <xdr:sp macro="" textlink="">
      <xdr:nvSpPr>
        <xdr:cNvPr id="1816" name="Text Box 206">
          <a:extLst>
            <a:ext uri="{FF2B5EF4-FFF2-40B4-BE49-F238E27FC236}">
              <a16:creationId xmlns:a16="http://schemas.microsoft.com/office/drawing/2014/main" id="{00000000-0008-0000-0F00-000018070000}"/>
            </a:ext>
          </a:extLst>
        </xdr:cNvPr>
        <xdr:cNvSpPr txBox="1">
          <a:spLocks noChangeArrowheads="1"/>
        </xdr:cNvSpPr>
      </xdr:nvSpPr>
      <xdr:spPr bwMode="auto">
        <a:xfrm>
          <a:off x="3100917" y="4921250"/>
          <a:ext cx="114300" cy="1048960"/>
        </a:xfrm>
        <a:prstGeom prst="rect">
          <a:avLst/>
        </a:prstGeom>
        <a:noFill/>
        <a:ln w="9525">
          <a:noFill/>
          <a:miter lim="800000"/>
          <a:headEnd/>
          <a:tailEnd/>
        </a:ln>
      </xdr:spPr>
    </xdr:sp>
    <xdr:clientData/>
  </xdr:oneCellAnchor>
  <xdr:oneCellAnchor>
    <xdr:from>
      <xdr:col>4</xdr:col>
      <xdr:colOff>0</xdr:colOff>
      <xdr:row>10</xdr:row>
      <xdr:rowOff>0</xdr:rowOff>
    </xdr:from>
    <xdr:ext cx="123825" cy="1048960"/>
    <xdr:sp macro="" textlink="">
      <xdr:nvSpPr>
        <xdr:cNvPr id="1817" name="Text Box 207">
          <a:extLst>
            <a:ext uri="{FF2B5EF4-FFF2-40B4-BE49-F238E27FC236}">
              <a16:creationId xmlns:a16="http://schemas.microsoft.com/office/drawing/2014/main" id="{00000000-0008-0000-0F00-00001907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10</xdr:row>
      <xdr:rowOff>0</xdr:rowOff>
    </xdr:from>
    <xdr:ext cx="123825" cy="1048960"/>
    <xdr:sp macro="" textlink="">
      <xdr:nvSpPr>
        <xdr:cNvPr id="1818" name="Text Box 208">
          <a:extLst>
            <a:ext uri="{FF2B5EF4-FFF2-40B4-BE49-F238E27FC236}">
              <a16:creationId xmlns:a16="http://schemas.microsoft.com/office/drawing/2014/main" id="{00000000-0008-0000-0F00-00001A07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10</xdr:row>
      <xdr:rowOff>0</xdr:rowOff>
    </xdr:from>
    <xdr:ext cx="123825" cy="1048960"/>
    <xdr:sp macro="" textlink="">
      <xdr:nvSpPr>
        <xdr:cNvPr id="1819" name="Text Box 209">
          <a:extLst>
            <a:ext uri="{FF2B5EF4-FFF2-40B4-BE49-F238E27FC236}">
              <a16:creationId xmlns:a16="http://schemas.microsoft.com/office/drawing/2014/main" id="{00000000-0008-0000-0F00-00001B07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10</xdr:row>
      <xdr:rowOff>0</xdr:rowOff>
    </xdr:from>
    <xdr:ext cx="123825" cy="1048960"/>
    <xdr:sp macro="" textlink="">
      <xdr:nvSpPr>
        <xdr:cNvPr id="1820" name="Text Box 210">
          <a:extLst>
            <a:ext uri="{FF2B5EF4-FFF2-40B4-BE49-F238E27FC236}">
              <a16:creationId xmlns:a16="http://schemas.microsoft.com/office/drawing/2014/main" id="{00000000-0008-0000-0F00-00001C07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10</xdr:row>
      <xdr:rowOff>0</xdr:rowOff>
    </xdr:from>
    <xdr:ext cx="123825" cy="934660"/>
    <xdr:sp macro="" textlink="">
      <xdr:nvSpPr>
        <xdr:cNvPr id="1821" name="Text Box 211">
          <a:extLst>
            <a:ext uri="{FF2B5EF4-FFF2-40B4-BE49-F238E27FC236}">
              <a16:creationId xmlns:a16="http://schemas.microsoft.com/office/drawing/2014/main" id="{00000000-0008-0000-0F00-00001D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10</xdr:row>
      <xdr:rowOff>0</xdr:rowOff>
    </xdr:from>
    <xdr:ext cx="123825" cy="934660"/>
    <xdr:sp macro="" textlink="">
      <xdr:nvSpPr>
        <xdr:cNvPr id="1822" name="Text Box 212">
          <a:extLst>
            <a:ext uri="{FF2B5EF4-FFF2-40B4-BE49-F238E27FC236}">
              <a16:creationId xmlns:a16="http://schemas.microsoft.com/office/drawing/2014/main" id="{00000000-0008-0000-0F00-00001E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10</xdr:row>
      <xdr:rowOff>0</xdr:rowOff>
    </xdr:from>
    <xdr:ext cx="123825" cy="934660"/>
    <xdr:sp macro="" textlink="">
      <xdr:nvSpPr>
        <xdr:cNvPr id="1823" name="Text Box 213">
          <a:extLst>
            <a:ext uri="{FF2B5EF4-FFF2-40B4-BE49-F238E27FC236}">
              <a16:creationId xmlns:a16="http://schemas.microsoft.com/office/drawing/2014/main" id="{00000000-0008-0000-0F00-00001F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10</xdr:row>
      <xdr:rowOff>0</xdr:rowOff>
    </xdr:from>
    <xdr:ext cx="123825" cy="934660"/>
    <xdr:sp macro="" textlink="">
      <xdr:nvSpPr>
        <xdr:cNvPr id="1824" name="Text Box 214">
          <a:extLst>
            <a:ext uri="{FF2B5EF4-FFF2-40B4-BE49-F238E27FC236}">
              <a16:creationId xmlns:a16="http://schemas.microsoft.com/office/drawing/2014/main" id="{00000000-0008-0000-0F00-000020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25" name="Text Box 197">
          <a:extLst>
            <a:ext uri="{FF2B5EF4-FFF2-40B4-BE49-F238E27FC236}">
              <a16:creationId xmlns:a16="http://schemas.microsoft.com/office/drawing/2014/main" id="{00000000-0008-0000-0F00-000021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26" name="Text Box 198">
          <a:extLst>
            <a:ext uri="{FF2B5EF4-FFF2-40B4-BE49-F238E27FC236}">
              <a16:creationId xmlns:a16="http://schemas.microsoft.com/office/drawing/2014/main" id="{00000000-0008-0000-0F00-000022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27" name="Text Box 199">
          <a:extLst>
            <a:ext uri="{FF2B5EF4-FFF2-40B4-BE49-F238E27FC236}">
              <a16:creationId xmlns:a16="http://schemas.microsoft.com/office/drawing/2014/main" id="{00000000-0008-0000-0F00-000023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28" name="Text Box 200">
          <a:extLst>
            <a:ext uri="{FF2B5EF4-FFF2-40B4-BE49-F238E27FC236}">
              <a16:creationId xmlns:a16="http://schemas.microsoft.com/office/drawing/2014/main" id="{00000000-0008-0000-0F00-000024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29" name="Text Box 201">
          <a:extLst>
            <a:ext uri="{FF2B5EF4-FFF2-40B4-BE49-F238E27FC236}">
              <a16:creationId xmlns:a16="http://schemas.microsoft.com/office/drawing/2014/main" id="{00000000-0008-0000-0F00-000025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30" name="Text Box 202">
          <a:extLst>
            <a:ext uri="{FF2B5EF4-FFF2-40B4-BE49-F238E27FC236}">
              <a16:creationId xmlns:a16="http://schemas.microsoft.com/office/drawing/2014/main" id="{00000000-0008-0000-0F00-000026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31" name="Text Box 203">
          <a:extLst>
            <a:ext uri="{FF2B5EF4-FFF2-40B4-BE49-F238E27FC236}">
              <a16:creationId xmlns:a16="http://schemas.microsoft.com/office/drawing/2014/main" id="{00000000-0008-0000-0F00-000027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32" name="Text Box 204">
          <a:extLst>
            <a:ext uri="{FF2B5EF4-FFF2-40B4-BE49-F238E27FC236}">
              <a16:creationId xmlns:a16="http://schemas.microsoft.com/office/drawing/2014/main" id="{00000000-0008-0000-0F00-000028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14300" cy="945696"/>
    <xdr:sp macro="" textlink="">
      <xdr:nvSpPr>
        <xdr:cNvPr id="1833" name="Text Box 205">
          <a:extLst>
            <a:ext uri="{FF2B5EF4-FFF2-40B4-BE49-F238E27FC236}">
              <a16:creationId xmlns:a16="http://schemas.microsoft.com/office/drawing/2014/main" id="{00000000-0008-0000-0F00-00002907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11</xdr:row>
      <xdr:rowOff>0</xdr:rowOff>
    </xdr:from>
    <xdr:ext cx="114300" cy="945696"/>
    <xdr:sp macro="" textlink="">
      <xdr:nvSpPr>
        <xdr:cNvPr id="1834" name="Text Box 206">
          <a:extLst>
            <a:ext uri="{FF2B5EF4-FFF2-40B4-BE49-F238E27FC236}">
              <a16:creationId xmlns:a16="http://schemas.microsoft.com/office/drawing/2014/main" id="{00000000-0008-0000-0F00-00002A07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11</xdr:row>
      <xdr:rowOff>0</xdr:rowOff>
    </xdr:from>
    <xdr:ext cx="123825" cy="945696"/>
    <xdr:sp macro="" textlink="">
      <xdr:nvSpPr>
        <xdr:cNvPr id="1835" name="Text Box 207">
          <a:extLst>
            <a:ext uri="{FF2B5EF4-FFF2-40B4-BE49-F238E27FC236}">
              <a16:creationId xmlns:a16="http://schemas.microsoft.com/office/drawing/2014/main" id="{00000000-0008-0000-0F00-00002B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11</xdr:row>
      <xdr:rowOff>0</xdr:rowOff>
    </xdr:from>
    <xdr:ext cx="123825" cy="945696"/>
    <xdr:sp macro="" textlink="">
      <xdr:nvSpPr>
        <xdr:cNvPr id="1836" name="Text Box 208">
          <a:extLst>
            <a:ext uri="{FF2B5EF4-FFF2-40B4-BE49-F238E27FC236}">
              <a16:creationId xmlns:a16="http://schemas.microsoft.com/office/drawing/2014/main" id="{00000000-0008-0000-0F00-00002C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11</xdr:row>
      <xdr:rowOff>0</xdr:rowOff>
    </xdr:from>
    <xdr:ext cx="123825" cy="945696"/>
    <xdr:sp macro="" textlink="">
      <xdr:nvSpPr>
        <xdr:cNvPr id="1837" name="Text Box 209">
          <a:extLst>
            <a:ext uri="{FF2B5EF4-FFF2-40B4-BE49-F238E27FC236}">
              <a16:creationId xmlns:a16="http://schemas.microsoft.com/office/drawing/2014/main" id="{00000000-0008-0000-0F00-00002D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11</xdr:row>
      <xdr:rowOff>0</xdr:rowOff>
    </xdr:from>
    <xdr:ext cx="123825" cy="945696"/>
    <xdr:sp macro="" textlink="">
      <xdr:nvSpPr>
        <xdr:cNvPr id="1838" name="Text Box 210">
          <a:extLst>
            <a:ext uri="{FF2B5EF4-FFF2-40B4-BE49-F238E27FC236}">
              <a16:creationId xmlns:a16="http://schemas.microsoft.com/office/drawing/2014/main" id="{00000000-0008-0000-0F00-00002E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39" name="Text Box 211">
          <a:extLst>
            <a:ext uri="{FF2B5EF4-FFF2-40B4-BE49-F238E27FC236}">
              <a16:creationId xmlns:a16="http://schemas.microsoft.com/office/drawing/2014/main" id="{00000000-0008-0000-0F00-00002F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40" name="Text Box 212">
          <a:extLst>
            <a:ext uri="{FF2B5EF4-FFF2-40B4-BE49-F238E27FC236}">
              <a16:creationId xmlns:a16="http://schemas.microsoft.com/office/drawing/2014/main" id="{00000000-0008-0000-0F00-000030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41" name="Text Box 213">
          <a:extLst>
            <a:ext uri="{FF2B5EF4-FFF2-40B4-BE49-F238E27FC236}">
              <a16:creationId xmlns:a16="http://schemas.microsoft.com/office/drawing/2014/main" id="{00000000-0008-0000-0F00-000031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11</xdr:row>
      <xdr:rowOff>0</xdr:rowOff>
    </xdr:from>
    <xdr:ext cx="123825" cy="831396"/>
    <xdr:sp macro="" textlink="">
      <xdr:nvSpPr>
        <xdr:cNvPr id="1842" name="Text Box 214">
          <a:extLst>
            <a:ext uri="{FF2B5EF4-FFF2-40B4-BE49-F238E27FC236}">
              <a16:creationId xmlns:a16="http://schemas.microsoft.com/office/drawing/2014/main" id="{00000000-0008-0000-0F00-000032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940252"/>
    <xdr:sp macro="" textlink="">
      <xdr:nvSpPr>
        <xdr:cNvPr id="1843" name="Text Box 197">
          <a:extLst>
            <a:ext uri="{FF2B5EF4-FFF2-40B4-BE49-F238E27FC236}">
              <a16:creationId xmlns:a16="http://schemas.microsoft.com/office/drawing/2014/main" id="{00000000-0008-0000-0F00-000033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10</xdr:row>
      <xdr:rowOff>0</xdr:rowOff>
    </xdr:from>
    <xdr:ext cx="123825" cy="940252"/>
    <xdr:sp macro="" textlink="">
      <xdr:nvSpPr>
        <xdr:cNvPr id="1844" name="Text Box 198">
          <a:extLst>
            <a:ext uri="{FF2B5EF4-FFF2-40B4-BE49-F238E27FC236}">
              <a16:creationId xmlns:a16="http://schemas.microsoft.com/office/drawing/2014/main" id="{00000000-0008-0000-0F00-000034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10</xdr:row>
      <xdr:rowOff>0</xdr:rowOff>
    </xdr:from>
    <xdr:ext cx="123825" cy="940252"/>
    <xdr:sp macro="" textlink="">
      <xdr:nvSpPr>
        <xdr:cNvPr id="1845" name="Text Box 199">
          <a:extLst>
            <a:ext uri="{FF2B5EF4-FFF2-40B4-BE49-F238E27FC236}">
              <a16:creationId xmlns:a16="http://schemas.microsoft.com/office/drawing/2014/main" id="{00000000-0008-0000-0F00-000035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10</xdr:row>
      <xdr:rowOff>0</xdr:rowOff>
    </xdr:from>
    <xdr:ext cx="123825" cy="940252"/>
    <xdr:sp macro="" textlink="">
      <xdr:nvSpPr>
        <xdr:cNvPr id="1846" name="Text Box 200">
          <a:extLst>
            <a:ext uri="{FF2B5EF4-FFF2-40B4-BE49-F238E27FC236}">
              <a16:creationId xmlns:a16="http://schemas.microsoft.com/office/drawing/2014/main" id="{00000000-0008-0000-0F00-000036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10</xdr:row>
      <xdr:rowOff>0</xdr:rowOff>
    </xdr:from>
    <xdr:ext cx="123825" cy="940252"/>
    <xdr:sp macro="" textlink="">
      <xdr:nvSpPr>
        <xdr:cNvPr id="1847" name="Text Box 201">
          <a:extLst>
            <a:ext uri="{FF2B5EF4-FFF2-40B4-BE49-F238E27FC236}">
              <a16:creationId xmlns:a16="http://schemas.microsoft.com/office/drawing/2014/main" id="{00000000-0008-0000-0F00-000037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10</xdr:row>
      <xdr:rowOff>0</xdr:rowOff>
    </xdr:from>
    <xdr:ext cx="123825" cy="940252"/>
    <xdr:sp macro="" textlink="">
      <xdr:nvSpPr>
        <xdr:cNvPr id="1848" name="Text Box 202">
          <a:extLst>
            <a:ext uri="{FF2B5EF4-FFF2-40B4-BE49-F238E27FC236}">
              <a16:creationId xmlns:a16="http://schemas.microsoft.com/office/drawing/2014/main" id="{00000000-0008-0000-0F00-000038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10</xdr:row>
      <xdr:rowOff>0</xdr:rowOff>
    </xdr:from>
    <xdr:ext cx="123825" cy="940252"/>
    <xdr:sp macro="" textlink="">
      <xdr:nvSpPr>
        <xdr:cNvPr id="1849" name="Text Box 203">
          <a:extLst>
            <a:ext uri="{FF2B5EF4-FFF2-40B4-BE49-F238E27FC236}">
              <a16:creationId xmlns:a16="http://schemas.microsoft.com/office/drawing/2014/main" id="{00000000-0008-0000-0F00-000039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10</xdr:row>
      <xdr:rowOff>0</xdr:rowOff>
    </xdr:from>
    <xdr:ext cx="123825" cy="940252"/>
    <xdr:sp macro="" textlink="">
      <xdr:nvSpPr>
        <xdr:cNvPr id="1850" name="Text Box 204">
          <a:extLst>
            <a:ext uri="{FF2B5EF4-FFF2-40B4-BE49-F238E27FC236}">
              <a16:creationId xmlns:a16="http://schemas.microsoft.com/office/drawing/2014/main" id="{00000000-0008-0000-0F00-00003A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10</xdr:row>
      <xdr:rowOff>0</xdr:rowOff>
    </xdr:from>
    <xdr:ext cx="114300" cy="1054552"/>
    <xdr:sp macro="" textlink="">
      <xdr:nvSpPr>
        <xdr:cNvPr id="1851" name="Text Box 205">
          <a:extLst>
            <a:ext uri="{FF2B5EF4-FFF2-40B4-BE49-F238E27FC236}">
              <a16:creationId xmlns:a16="http://schemas.microsoft.com/office/drawing/2014/main" id="{00000000-0008-0000-0F00-00003B070000}"/>
            </a:ext>
          </a:extLst>
        </xdr:cNvPr>
        <xdr:cNvSpPr txBox="1">
          <a:spLocks noChangeArrowheads="1"/>
        </xdr:cNvSpPr>
      </xdr:nvSpPr>
      <xdr:spPr bwMode="auto">
        <a:xfrm>
          <a:off x="4286250" y="4921250"/>
          <a:ext cx="114300" cy="1054552"/>
        </a:xfrm>
        <a:prstGeom prst="rect">
          <a:avLst/>
        </a:prstGeom>
        <a:noFill/>
        <a:ln w="9525">
          <a:noFill/>
          <a:miter lim="800000"/>
          <a:headEnd/>
          <a:tailEnd/>
        </a:ln>
      </xdr:spPr>
    </xdr:sp>
    <xdr:clientData/>
  </xdr:oneCellAnchor>
  <xdr:oneCellAnchor>
    <xdr:from>
      <xdr:col>7</xdr:col>
      <xdr:colOff>0</xdr:colOff>
      <xdr:row>10</xdr:row>
      <xdr:rowOff>0</xdr:rowOff>
    </xdr:from>
    <xdr:ext cx="114300" cy="1054552"/>
    <xdr:sp macro="" textlink="">
      <xdr:nvSpPr>
        <xdr:cNvPr id="1852" name="Text Box 206">
          <a:extLst>
            <a:ext uri="{FF2B5EF4-FFF2-40B4-BE49-F238E27FC236}">
              <a16:creationId xmlns:a16="http://schemas.microsoft.com/office/drawing/2014/main" id="{00000000-0008-0000-0F00-00003C070000}"/>
            </a:ext>
          </a:extLst>
        </xdr:cNvPr>
        <xdr:cNvSpPr txBox="1">
          <a:spLocks noChangeArrowheads="1"/>
        </xdr:cNvSpPr>
      </xdr:nvSpPr>
      <xdr:spPr bwMode="auto">
        <a:xfrm>
          <a:off x="4286250" y="4921250"/>
          <a:ext cx="114300" cy="1054552"/>
        </a:xfrm>
        <a:prstGeom prst="rect">
          <a:avLst/>
        </a:prstGeom>
        <a:noFill/>
        <a:ln w="9525">
          <a:noFill/>
          <a:miter lim="800000"/>
          <a:headEnd/>
          <a:tailEnd/>
        </a:ln>
      </xdr:spPr>
    </xdr:sp>
    <xdr:clientData/>
  </xdr:oneCellAnchor>
  <xdr:oneCellAnchor>
    <xdr:from>
      <xdr:col>7</xdr:col>
      <xdr:colOff>0</xdr:colOff>
      <xdr:row>10</xdr:row>
      <xdr:rowOff>0</xdr:rowOff>
    </xdr:from>
    <xdr:ext cx="123825" cy="1054552"/>
    <xdr:sp macro="" textlink="">
      <xdr:nvSpPr>
        <xdr:cNvPr id="1853" name="Text Box 207">
          <a:extLst>
            <a:ext uri="{FF2B5EF4-FFF2-40B4-BE49-F238E27FC236}">
              <a16:creationId xmlns:a16="http://schemas.microsoft.com/office/drawing/2014/main" id="{00000000-0008-0000-0F00-00003D07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10</xdr:row>
      <xdr:rowOff>0</xdr:rowOff>
    </xdr:from>
    <xdr:ext cx="123825" cy="1054552"/>
    <xdr:sp macro="" textlink="">
      <xdr:nvSpPr>
        <xdr:cNvPr id="1854" name="Text Box 208">
          <a:extLst>
            <a:ext uri="{FF2B5EF4-FFF2-40B4-BE49-F238E27FC236}">
              <a16:creationId xmlns:a16="http://schemas.microsoft.com/office/drawing/2014/main" id="{00000000-0008-0000-0F00-00003E07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10</xdr:row>
      <xdr:rowOff>0</xdr:rowOff>
    </xdr:from>
    <xdr:ext cx="123825" cy="1054552"/>
    <xdr:sp macro="" textlink="">
      <xdr:nvSpPr>
        <xdr:cNvPr id="1855" name="Text Box 209">
          <a:extLst>
            <a:ext uri="{FF2B5EF4-FFF2-40B4-BE49-F238E27FC236}">
              <a16:creationId xmlns:a16="http://schemas.microsoft.com/office/drawing/2014/main" id="{00000000-0008-0000-0F00-00003F07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10</xdr:row>
      <xdr:rowOff>0</xdr:rowOff>
    </xdr:from>
    <xdr:ext cx="123825" cy="1054552"/>
    <xdr:sp macro="" textlink="">
      <xdr:nvSpPr>
        <xdr:cNvPr id="1856" name="Text Box 210">
          <a:extLst>
            <a:ext uri="{FF2B5EF4-FFF2-40B4-BE49-F238E27FC236}">
              <a16:creationId xmlns:a16="http://schemas.microsoft.com/office/drawing/2014/main" id="{00000000-0008-0000-0F00-00004007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10</xdr:row>
      <xdr:rowOff>0</xdr:rowOff>
    </xdr:from>
    <xdr:ext cx="123825" cy="940252"/>
    <xdr:sp macro="" textlink="">
      <xdr:nvSpPr>
        <xdr:cNvPr id="1857" name="Text Box 211">
          <a:extLst>
            <a:ext uri="{FF2B5EF4-FFF2-40B4-BE49-F238E27FC236}">
              <a16:creationId xmlns:a16="http://schemas.microsoft.com/office/drawing/2014/main" id="{00000000-0008-0000-0F00-000041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10</xdr:row>
      <xdr:rowOff>0</xdr:rowOff>
    </xdr:from>
    <xdr:ext cx="123825" cy="940252"/>
    <xdr:sp macro="" textlink="">
      <xdr:nvSpPr>
        <xdr:cNvPr id="1858" name="Text Box 212">
          <a:extLst>
            <a:ext uri="{FF2B5EF4-FFF2-40B4-BE49-F238E27FC236}">
              <a16:creationId xmlns:a16="http://schemas.microsoft.com/office/drawing/2014/main" id="{00000000-0008-0000-0F00-000042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10</xdr:row>
      <xdr:rowOff>0</xdr:rowOff>
    </xdr:from>
    <xdr:ext cx="123825" cy="940252"/>
    <xdr:sp macro="" textlink="">
      <xdr:nvSpPr>
        <xdr:cNvPr id="1859" name="Text Box 213">
          <a:extLst>
            <a:ext uri="{FF2B5EF4-FFF2-40B4-BE49-F238E27FC236}">
              <a16:creationId xmlns:a16="http://schemas.microsoft.com/office/drawing/2014/main" id="{00000000-0008-0000-0F00-000043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10</xdr:row>
      <xdr:rowOff>0</xdr:rowOff>
    </xdr:from>
    <xdr:ext cx="123825" cy="940252"/>
    <xdr:sp macro="" textlink="">
      <xdr:nvSpPr>
        <xdr:cNvPr id="1860" name="Text Box 214">
          <a:extLst>
            <a:ext uri="{FF2B5EF4-FFF2-40B4-BE49-F238E27FC236}">
              <a16:creationId xmlns:a16="http://schemas.microsoft.com/office/drawing/2014/main" id="{00000000-0008-0000-0F00-000044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61" name="Text Box 197">
          <a:extLst>
            <a:ext uri="{FF2B5EF4-FFF2-40B4-BE49-F238E27FC236}">
              <a16:creationId xmlns:a16="http://schemas.microsoft.com/office/drawing/2014/main" id="{00000000-0008-0000-0F00-000045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62" name="Text Box 198">
          <a:extLst>
            <a:ext uri="{FF2B5EF4-FFF2-40B4-BE49-F238E27FC236}">
              <a16:creationId xmlns:a16="http://schemas.microsoft.com/office/drawing/2014/main" id="{00000000-0008-0000-0F00-000046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63" name="Text Box 199">
          <a:extLst>
            <a:ext uri="{FF2B5EF4-FFF2-40B4-BE49-F238E27FC236}">
              <a16:creationId xmlns:a16="http://schemas.microsoft.com/office/drawing/2014/main" id="{00000000-0008-0000-0F00-000047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64" name="Text Box 200">
          <a:extLst>
            <a:ext uri="{FF2B5EF4-FFF2-40B4-BE49-F238E27FC236}">
              <a16:creationId xmlns:a16="http://schemas.microsoft.com/office/drawing/2014/main" id="{00000000-0008-0000-0F00-000048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65" name="Text Box 201">
          <a:extLst>
            <a:ext uri="{FF2B5EF4-FFF2-40B4-BE49-F238E27FC236}">
              <a16:creationId xmlns:a16="http://schemas.microsoft.com/office/drawing/2014/main" id="{00000000-0008-0000-0F00-000049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66" name="Text Box 202">
          <a:extLst>
            <a:ext uri="{FF2B5EF4-FFF2-40B4-BE49-F238E27FC236}">
              <a16:creationId xmlns:a16="http://schemas.microsoft.com/office/drawing/2014/main" id="{00000000-0008-0000-0F00-00004A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67" name="Text Box 203">
          <a:extLst>
            <a:ext uri="{FF2B5EF4-FFF2-40B4-BE49-F238E27FC236}">
              <a16:creationId xmlns:a16="http://schemas.microsoft.com/office/drawing/2014/main" id="{00000000-0008-0000-0F00-00004B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68" name="Text Box 204">
          <a:extLst>
            <a:ext uri="{FF2B5EF4-FFF2-40B4-BE49-F238E27FC236}">
              <a16:creationId xmlns:a16="http://schemas.microsoft.com/office/drawing/2014/main" id="{00000000-0008-0000-0F00-00004C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14300" cy="945696"/>
    <xdr:sp macro="" textlink="">
      <xdr:nvSpPr>
        <xdr:cNvPr id="1869" name="Text Box 205">
          <a:extLst>
            <a:ext uri="{FF2B5EF4-FFF2-40B4-BE49-F238E27FC236}">
              <a16:creationId xmlns:a16="http://schemas.microsoft.com/office/drawing/2014/main" id="{00000000-0008-0000-0F00-00004D07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11</xdr:row>
      <xdr:rowOff>0</xdr:rowOff>
    </xdr:from>
    <xdr:ext cx="114300" cy="945696"/>
    <xdr:sp macro="" textlink="">
      <xdr:nvSpPr>
        <xdr:cNvPr id="1870" name="Text Box 206">
          <a:extLst>
            <a:ext uri="{FF2B5EF4-FFF2-40B4-BE49-F238E27FC236}">
              <a16:creationId xmlns:a16="http://schemas.microsoft.com/office/drawing/2014/main" id="{00000000-0008-0000-0F00-00004E07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11</xdr:row>
      <xdr:rowOff>0</xdr:rowOff>
    </xdr:from>
    <xdr:ext cx="123825" cy="945696"/>
    <xdr:sp macro="" textlink="">
      <xdr:nvSpPr>
        <xdr:cNvPr id="1871" name="Text Box 207">
          <a:extLst>
            <a:ext uri="{FF2B5EF4-FFF2-40B4-BE49-F238E27FC236}">
              <a16:creationId xmlns:a16="http://schemas.microsoft.com/office/drawing/2014/main" id="{00000000-0008-0000-0F00-00004F07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11</xdr:row>
      <xdr:rowOff>0</xdr:rowOff>
    </xdr:from>
    <xdr:ext cx="123825" cy="945696"/>
    <xdr:sp macro="" textlink="">
      <xdr:nvSpPr>
        <xdr:cNvPr id="1872" name="Text Box 208">
          <a:extLst>
            <a:ext uri="{FF2B5EF4-FFF2-40B4-BE49-F238E27FC236}">
              <a16:creationId xmlns:a16="http://schemas.microsoft.com/office/drawing/2014/main" id="{00000000-0008-0000-0F00-00005007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11</xdr:row>
      <xdr:rowOff>0</xdr:rowOff>
    </xdr:from>
    <xdr:ext cx="123825" cy="945696"/>
    <xdr:sp macro="" textlink="">
      <xdr:nvSpPr>
        <xdr:cNvPr id="1873" name="Text Box 209">
          <a:extLst>
            <a:ext uri="{FF2B5EF4-FFF2-40B4-BE49-F238E27FC236}">
              <a16:creationId xmlns:a16="http://schemas.microsoft.com/office/drawing/2014/main" id="{00000000-0008-0000-0F00-00005107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11</xdr:row>
      <xdr:rowOff>0</xdr:rowOff>
    </xdr:from>
    <xdr:ext cx="123825" cy="945696"/>
    <xdr:sp macro="" textlink="">
      <xdr:nvSpPr>
        <xdr:cNvPr id="1874" name="Text Box 210">
          <a:extLst>
            <a:ext uri="{FF2B5EF4-FFF2-40B4-BE49-F238E27FC236}">
              <a16:creationId xmlns:a16="http://schemas.microsoft.com/office/drawing/2014/main" id="{00000000-0008-0000-0F00-00005207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75" name="Text Box 211">
          <a:extLst>
            <a:ext uri="{FF2B5EF4-FFF2-40B4-BE49-F238E27FC236}">
              <a16:creationId xmlns:a16="http://schemas.microsoft.com/office/drawing/2014/main" id="{00000000-0008-0000-0F00-000053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76" name="Text Box 212">
          <a:extLst>
            <a:ext uri="{FF2B5EF4-FFF2-40B4-BE49-F238E27FC236}">
              <a16:creationId xmlns:a16="http://schemas.microsoft.com/office/drawing/2014/main" id="{00000000-0008-0000-0F00-000054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77" name="Text Box 213">
          <a:extLst>
            <a:ext uri="{FF2B5EF4-FFF2-40B4-BE49-F238E27FC236}">
              <a16:creationId xmlns:a16="http://schemas.microsoft.com/office/drawing/2014/main" id="{00000000-0008-0000-0F00-000055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78" name="Text Box 214">
          <a:extLst>
            <a:ext uri="{FF2B5EF4-FFF2-40B4-BE49-F238E27FC236}">
              <a16:creationId xmlns:a16="http://schemas.microsoft.com/office/drawing/2014/main" id="{00000000-0008-0000-0F00-000056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10</xdr:row>
      <xdr:rowOff>0</xdr:rowOff>
    </xdr:from>
    <xdr:ext cx="123825" cy="936171"/>
    <xdr:sp macro="" textlink="">
      <xdr:nvSpPr>
        <xdr:cNvPr id="1879" name="Text Box 197">
          <a:extLst>
            <a:ext uri="{FF2B5EF4-FFF2-40B4-BE49-F238E27FC236}">
              <a16:creationId xmlns:a16="http://schemas.microsoft.com/office/drawing/2014/main" id="{00000000-0008-0000-0F00-00005707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10</xdr:row>
      <xdr:rowOff>0</xdr:rowOff>
    </xdr:from>
    <xdr:ext cx="123825" cy="936171"/>
    <xdr:sp macro="" textlink="">
      <xdr:nvSpPr>
        <xdr:cNvPr id="1880" name="Text Box 198">
          <a:extLst>
            <a:ext uri="{FF2B5EF4-FFF2-40B4-BE49-F238E27FC236}">
              <a16:creationId xmlns:a16="http://schemas.microsoft.com/office/drawing/2014/main" id="{00000000-0008-0000-0F00-00005807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10</xdr:row>
      <xdr:rowOff>0</xdr:rowOff>
    </xdr:from>
    <xdr:ext cx="123825" cy="936171"/>
    <xdr:sp macro="" textlink="">
      <xdr:nvSpPr>
        <xdr:cNvPr id="1881" name="Text Box 199">
          <a:extLst>
            <a:ext uri="{FF2B5EF4-FFF2-40B4-BE49-F238E27FC236}">
              <a16:creationId xmlns:a16="http://schemas.microsoft.com/office/drawing/2014/main" id="{00000000-0008-0000-0F00-00005907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10</xdr:row>
      <xdr:rowOff>0</xdr:rowOff>
    </xdr:from>
    <xdr:ext cx="123825" cy="936171"/>
    <xdr:sp macro="" textlink="">
      <xdr:nvSpPr>
        <xdr:cNvPr id="1882" name="Text Box 200">
          <a:extLst>
            <a:ext uri="{FF2B5EF4-FFF2-40B4-BE49-F238E27FC236}">
              <a16:creationId xmlns:a16="http://schemas.microsoft.com/office/drawing/2014/main" id="{00000000-0008-0000-0F00-00005A07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10</xdr:row>
      <xdr:rowOff>0</xdr:rowOff>
    </xdr:from>
    <xdr:ext cx="123825" cy="936171"/>
    <xdr:sp macro="" textlink="">
      <xdr:nvSpPr>
        <xdr:cNvPr id="1883" name="Text Box 201">
          <a:extLst>
            <a:ext uri="{FF2B5EF4-FFF2-40B4-BE49-F238E27FC236}">
              <a16:creationId xmlns:a16="http://schemas.microsoft.com/office/drawing/2014/main" id="{00000000-0008-0000-0F00-00005B07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10</xdr:row>
      <xdr:rowOff>0</xdr:rowOff>
    </xdr:from>
    <xdr:ext cx="123825" cy="936171"/>
    <xdr:sp macro="" textlink="">
      <xdr:nvSpPr>
        <xdr:cNvPr id="1884" name="Text Box 202">
          <a:extLst>
            <a:ext uri="{FF2B5EF4-FFF2-40B4-BE49-F238E27FC236}">
              <a16:creationId xmlns:a16="http://schemas.microsoft.com/office/drawing/2014/main" id="{00000000-0008-0000-0F00-00005C07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10</xdr:row>
      <xdr:rowOff>0</xdr:rowOff>
    </xdr:from>
    <xdr:ext cx="123825" cy="936171"/>
    <xdr:sp macro="" textlink="">
      <xdr:nvSpPr>
        <xdr:cNvPr id="1885" name="Text Box 203">
          <a:extLst>
            <a:ext uri="{FF2B5EF4-FFF2-40B4-BE49-F238E27FC236}">
              <a16:creationId xmlns:a16="http://schemas.microsoft.com/office/drawing/2014/main" id="{00000000-0008-0000-0F00-00005D07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10</xdr:row>
      <xdr:rowOff>0</xdr:rowOff>
    </xdr:from>
    <xdr:ext cx="123825" cy="936171"/>
    <xdr:sp macro="" textlink="">
      <xdr:nvSpPr>
        <xdr:cNvPr id="1886" name="Text Box 204">
          <a:extLst>
            <a:ext uri="{FF2B5EF4-FFF2-40B4-BE49-F238E27FC236}">
              <a16:creationId xmlns:a16="http://schemas.microsoft.com/office/drawing/2014/main" id="{00000000-0008-0000-0F00-00005E07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10</xdr:row>
      <xdr:rowOff>0</xdr:rowOff>
    </xdr:from>
    <xdr:ext cx="114300" cy="1050471"/>
    <xdr:sp macro="" textlink="">
      <xdr:nvSpPr>
        <xdr:cNvPr id="1887" name="Text Box 205">
          <a:extLst>
            <a:ext uri="{FF2B5EF4-FFF2-40B4-BE49-F238E27FC236}">
              <a16:creationId xmlns:a16="http://schemas.microsoft.com/office/drawing/2014/main" id="{00000000-0008-0000-0F00-00005F070000}"/>
            </a:ext>
          </a:extLst>
        </xdr:cNvPr>
        <xdr:cNvSpPr txBox="1">
          <a:spLocks noChangeArrowheads="1"/>
        </xdr:cNvSpPr>
      </xdr:nvSpPr>
      <xdr:spPr bwMode="auto">
        <a:xfrm>
          <a:off x="4286250" y="4921250"/>
          <a:ext cx="114300" cy="1050471"/>
        </a:xfrm>
        <a:prstGeom prst="rect">
          <a:avLst/>
        </a:prstGeom>
        <a:noFill/>
        <a:ln w="9525">
          <a:noFill/>
          <a:miter lim="800000"/>
          <a:headEnd/>
          <a:tailEnd/>
        </a:ln>
      </xdr:spPr>
    </xdr:sp>
    <xdr:clientData/>
  </xdr:oneCellAnchor>
  <xdr:oneCellAnchor>
    <xdr:from>
      <xdr:col>7</xdr:col>
      <xdr:colOff>0</xdr:colOff>
      <xdr:row>10</xdr:row>
      <xdr:rowOff>0</xdr:rowOff>
    </xdr:from>
    <xdr:ext cx="114300" cy="1050471"/>
    <xdr:sp macro="" textlink="">
      <xdr:nvSpPr>
        <xdr:cNvPr id="1888" name="Text Box 206">
          <a:extLst>
            <a:ext uri="{FF2B5EF4-FFF2-40B4-BE49-F238E27FC236}">
              <a16:creationId xmlns:a16="http://schemas.microsoft.com/office/drawing/2014/main" id="{00000000-0008-0000-0F00-000060070000}"/>
            </a:ext>
          </a:extLst>
        </xdr:cNvPr>
        <xdr:cNvSpPr txBox="1">
          <a:spLocks noChangeArrowheads="1"/>
        </xdr:cNvSpPr>
      </xdr:nvSpPr>
      <xdr:spPr bwMode="auto">
        <a:xfrm>
          <a:off x="4286250" y="4921250"/>
          <a:ext cx="114300" cy="1050471"/>
        </a:xfrm>
        <a:prstGeom prst="rect">
          <a:avLst/>
        </a:prstGeom>
        <a:noFill/>
        <a:ln w="9525">
          <a:noFill/>
          <a:miter lim="800000"/>
          <a:headEnd/>
          <a:tailEnd/>
        </a:ln>
      </xdr:spPr>
    </xdr:sp>
    <xdr:clientData/>
  </xdr:oneCellAnchor>
  <xdr:oneCellAnchor>
    <xdr:from>
      <xdr:col>7</xdr:col>
      <xdr:colOff>0</xdr:colOff>
      <xdr:row>10</xdr:row>
      <xdr:rowOff>0</xdr:rowOff>
    </xdr:from>
    <xdr:ext cx="123825" cy="1050471"/>
    <xdr:sp macro="" textlink="">
      <xdr:nvSpPr>
        <xdr:cNvPr id="1889" name="Text Box 207">
          <a:extLst>
            <a:ext uri="{FF2B5EF4-FFF2-40B4-BE49-F238E27FC236}">
              <a16:creationId xmlns:a16="http://schemas.microsoft.com/office/drawing/2014/main" id="{00000000-0008-0000-0F00-00006107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10</xdr:row>
      <xdr:rowOff>0</xdr:rowOff>
    </xdr:from>
    <xdr:ext cx="123825" cy="1050471"/>
    <xdr:sp macro="" textlink="">
      <xdr:nvSpPr>
        <xdr:cNvPr id="1890" name="Text Box 208">
          <a:extLst>
            <a:ext uri="{FF2B5EF4-FFF2-40B4-BE49-F238E27FC236}">
              <a16:creationId xmlns:a16="http://schemas.microsoft.com/office/drawing/2014/main" id="{00000000-0008-0000-0F00-00006207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10</xdr:row>
      <xdr:rowOff>0</xdr:rowOff>
    </xdr:from>
    <xdr:ext cx="123825" cy="1050471"/>
    <xdr:sp macro="" textlink="">
      <xdr:nvSpPr>
        <xdr:cNvPr id="1891" name="Text Box 209">
          <a:extLst>
            <a:ext uri="{FF2B5EF4-FFF2-40B4-BE49-F238E27FC236}">
              <a16:creationId xmlns:a16="http://schemas.microsoft.com/office/drawing/2014/main" id="{00000000-0008-0000-0F00-00006307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10</xdr:row>
      <xdr:rowOff>0</xdr:rowOff>
    </xdr:from>
    <xdr:ext cx="123825" cy="1050471"/>
    <xdr:sp macro="" textlink="">
      <xdr:nvSpPr>
        <xdr:cNvPr id="1892" name="Text Box 210">
          <a:extLst>
            <a:ext uri="{FF2B5EF4-FFF2-40B4-BE49-F238E27FC236}">
              <a16:creationId xmlns:a16="http://schemas.microsoft.com/office/drawing/2014/main" id="{00000000-0008-0000-0F00-00006407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10</xdr:row>
      <xdr:rowOff>0</xdr:rowOff>
    </xdr:from>
    <xdr:ext cx="123825" cy="936171"/>
    <xdr:sp macro="" textlink="">
      <xdr:nvSpPr>
        <xdr:cNvPr id="1893" name="Text Box 211">
          <a:extLst>
            <a:ext uri="{FF2B5EF4-FFF2-40B4-BE49-F238E27FC236}">
              <a16:creationId xmlns:a16="http://schemas.microsoft.com/office/drawing/2014/main" id="{00000000-0008-0000-0F00-00006507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10</xdr:row>
      <xdr:rowOff>0</xdr:rowOff>
    </xdr:from>
    <xdr:ext cx="123825" cy="936171"/>
    <xdr:sp macro="" textlink="">
      <xdr:nvSpPr>
        <xdr:cNvPr id="1894" name="Text Box 212">
          <a:extLst>
            <a:ext uri="{FF2B5EF4-FFF2-40B4-BE49-F238E27FC236}">
              <a16:creationId xmlns:a16="http://schemas.microsoft.com/office/drawing/2014/main" id="{00000000-0008-0000-0F00-00006607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10</xdr:row>
      <xdr:rowOff>0</xdr:rowOff>
    </xdr:from>
    <xdr:ext cx="123825" cy="936171"/>
    <xdr:sp macro="" textlink="">
      <xdr:nvSpPr>
        <xdr:cNvPr id="1895" name="Text Box 213">
          <a:extLst>
            <a:ext uri="{FF2B5EF4-FFF2-40B4-BE49-F238E27FC236}">
              <a16:creationId xmlns:a16="http://schemas.microsoft.com/office/drawing/2014/main" id="{00000000-0008-0000-0F00-00006707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10</xdr:row>
      <xdr:rowOff>0</xdr:rowOff>
    </xdr:from>
    <xdr:ext cx="123825" cy="936171"/>
    <xdr:sp macro="" textlink="">
      <xdr:nvSpPr>
        <xdr:cNvPr id="1896" name="Text Box 214">
          <a:extLst>
            <a:ext uri="{FF2B5EF4-FFF2-40B4-BE49-F238E27FC236}">
              <a16:creationId xmlns:a16="http://schemas.microsoft.com/office/drawing/2014/main" id="{00000000-0008-0000-0F00-00006807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97" name="Text Box 197">
          <a:extLst>
            <a:ext uri="{FF2B5EF4-FFF2-40B4-BE49-F238E27FC236}">
              <a16:creationId xmlns:a16="http://schemas.microsoft.com/office/drawing/2014/main" id="{00000000-0008-0000-0F00-000069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98" name="Text Box 198">
          <a:extLst>
            <a:ext uri="{FF2B5EF4-FFF2-40B4-BE49-F238E27FC236}">
              <a16:creationId xmlns:a16="http://schemas.microsoft.com/office/drawing/2014/main" id="{00000000-0008-0000-0F00-00006A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899" name="Text Box 199">
          <a:extLst>
            <a:ext uri="{FF2B5EF4-FFF2-40B4-BE49-F238E27FC236}">
              <a16:creationId xmlns:a16="http://schemas.microsoft.com/office/drawing/2014/main" id="{00000000-0008-0000-0F00-00006B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900" name="Text Box 200">
          <a:extLst>
            <a:ext uri="{FF2B5EF4-FFF2-40B4-BE49-F238E27FC236}">
              <a16:creationId xmlns:a16="http://schemas.microsoft.com/office/drawing/2014/main" id="{00000000-0008-0000-0F00-00006C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901" name="Text Box 201">
          <a:extLst>
            <a:ext uri="{FF2B5EF4-FFF2-40B4-BE49-F238E27FC236}">
              <a16:creationId xmlns:a16="http://schemas.microsoft.com/office/drawing/2014/main" id="{00000000-0008-0000-0F00-00006D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902" name="Text Box 202">
          <a:extLst>
            <a:ext uri="{FF2B5EF4-FFF2-40B4-BE49-F238E27FC236}">
              <a16:creationId xmlns:a16="http://schemas.microsoft.com/office/drawing/2014/main" id="{00000000-0008-0000-0F00-00006E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903" name="Text Box 203">
          <a:extLst>
            <a:ext uri="{FF2B5EF4-FFF2-40B4-BE49-F238E27FC236}">
              <a16:creationId xmlns:a16="http://schemas.microsoft.com/office/drawing/2014/main" id="{00000000-0008-0000-0F00-00006F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904" name="Text Box 204">
          <a:extLst>
            <a:ext uri="{FF2B5EF4-FFF2-40B4-BE49-F238E27FC236}">
              <a16:creationId xmlns:a16="http://schemas.microsoft.com/office/drawing/2014/main" id="{00000000-0008-0000-0F00-000070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14300" cy="945696"/>
    <xdr:sp macro="" textlink="">
      <xdr:nvSpPr>
        <xdr:cNvPr id="1905" name="Text Box 205">
          <a:extLst>
            <a:ext uri="{FF2B5EF4-FFF2-40B4-BE49-F238E27FC236}">
              <a16:creationId xmlns:a16="http://schemas.microsoft.com/office/drawing/2014/main" id="{00000000-0008-0000-0F00-00007107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11</xdr:row>
      <xdr:rowOff>0</xdr:rowOff>
    </xdr:from>
    <xdr:ext cx="114300" cy="945696"/>
    <xdr:sp macro="" textlink="">
      <xdr:nvSpPr>
        <xdr:cNvPr id="1906" name="Text Box 206">
          <a:extLst>
            <a:ext uri="{FF2B5EF4-FFF2-40B4-BE49-F238E27FC236}">
              <a16:creationId xmlns:a16="http://schemas.microsoft.com/office/drawing/2014/main" id="{00000000-0008-0000-0F00-00007207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11</xdr:row>
      <xdr:rowOff>0</xdr:rowOff>
    </xdr:from>
    <xdr:ext cx="123825" cy="945696"/>
    <xdr:sp macro="" textlink="">
      <xdr:nvSpPr>
        <xdr:cNvPr id="1907" name="Text Box 207">
          <a:extLst>
            <a:ext uri="{FF2B5EF4-FFF2-40B4-BE49-F238E27FC236}">
              <a16:creationId xmlns:a16="http://schemas.microsoft.com/office/drawing/2014/main" id="{00000000-0008-0000-0F00-00007307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11</xdr:row>
      <xdr:rowOff>0</xdr:rowOff>
    </xdr:from>
    <xdr:ext cx="123825" cy="945696"/>
    <xdr:sp macro="" textlink="">
      <xdr:nvSpPr>
        <xdr:cNvPr id="1908" name="Text Box 208">
          <a:extLst>
            <a:ext uri="{FF2B5EF4-FFF2-40B4-BE49-F238E27FC236}">
              <a16:creationId xmlns:a16="http://schemas.microsoft.com/office/drawing/2014/main" id="{00000000-0008-0000-0F00-00007407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11</xdr:row>
      <xdr:rowOff>0</xdr:rowOff>
    </xdr:from>
    <xdr:ext cx="123825" cy="945696"/>
    <xdr:sp macro="" textlink="">
      <xdr:nvSpPr>
        <xdr:cNvPr id="1909" name="Text Box 209">
          <a:extLst>
            <a:ext uri="{FF2B5EF4-FFF2-40B4-BE49-F238E27FC236}">
              <a16:creationId xmlns:a16="http://schemas.microsoft.com/office/drawing/2014/main" id="{00000000-0008-0000-0F00-00007507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11</xdr:row>
      <xdr:rowOff>0</xdr:rowOff>
    </xdr:from>
    <xdr:ext cx="123825" cy="945696"/>
    <xdr:sp macro="" textlink="">
      <xdr:nvSpPr>
        <xdr:cNvPr id="1910" name="Text Box 210">
          <a:extLst>
            <a:ext uri="{FF2B5EF4-FFF2-40B4-BE49-F238E27FC236}">
              <a16:creationId xmlns:a16="http://schemas.microsoft.com/office/drawing/2014/main" id="{00000000-0008-0000-0F00-00007607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911" name="Text Box 211">
          <a:extLst>
            <a:ext uri="{FF2B5EF4-FFF2-40B4-BE49-F238E27FC236}">
              <a16:creationId xmlns:a16="http://schemas.microsoft.com/office/drawing/2014/main" id="{00000000-0008-0000-0F00-000077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912" name="Text Box 212">
          <a:extLst>
            <a:ext uri="{FF2B5EF4-FFF2-40B4-BE49-F238E27FC236}">
              <a16:creationId xmlns:a16="http://schemas.microsoft.com/office/drawing/2014/main" id="{00000000-0008-0000-0F00-000078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913" name="Text Box 213">
          <a:extLst>
            <a:ext uri="{FF2B5EF4-FFF2-40B4-BE49-F238E27FC236}">
              <a16:creationId xmlns:a16="http://schemas.microsoft.com/office/drawing/2014/main" id="{00000000-0008-0000-0F00-000079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11</xdr:row>
      <xdr:rowOff>0</xdr:rowOff>
    </xdr:from>
    <xdr:ext cx="123825" cy="831396"/>
    <xdr:sp macro="" textlink="">
      <xdr:nvSpPr>
        <xdr:cNvPr id="1914" name="Text Box 214">
          <a:extLst>
            <a:ext uri="{FF2B5EF4-FFF2-40B4-BE49-F238E27FC236}">
              <a16:creationId xmlns:a16="http://schemas.microsoft.com/office/drawing/2014/main" id="{00000000-0008-0000-0F00-00007A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15" name="Text Box 197">
          <a:extLst>
            <a:ext uri="{FF2B5EF4-FFF2-40B4-BE49-F238E27FC236}">
              <a16:creationId xmlns:a16="http://schemas.microsoft.com/office/drawing/2014/main" id="{00000000-0008-0000-0F00-00007B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16" name="Text Box 198">
          <a:extLst>
            <a:ext uri="{FF2B5EF4-FFF2-40B4-BE49-F238E27FC236}">
              <a16:creationId xmlns:a16="http://schemas.microsoft.com/office/drawing/2014/main" id="{00000000-0008-0000-0F00-00007C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17" name="Text Box 199">
          <a:extLst>
            <a:ext uri="{FF2B5EF4-FFF2-40B4-BE49-F238E27FC236}">
              <a16:creationId xmlns:a16="http://schemas.microsoft.com/office/drawing/2014/main" id="{00000000-0008-0000-0F00-00007D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18" name="Text Box 200">
          <a:extLst>
            <a:ext uri="{FF2B5EF4-FFF2-40B4-BE49-F238E27FC236}">
              <a16:creationId xmlns:a16="http://schemas.microsoft.com/office/drawing/2014/main" id="{00000000-0008-0000-0F00-00007E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19" name="Text Box 201">
          <a:extLst>
            <a:ext uri="{FF2B5EF4-FFF2-40B4-BE49-F238E27FC236}">
              <a16:creationId xmlns:a16="http://schemas.microsoft.com/office/drawing/2014/main" id="{00000000-0008-0000-0F00-00007F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20" name="Text Box 202">
          <a:extLst>
            <a:ext uri="{FF2B5EF4-FFF2-40B4-BE49-F238E27FC236}">
              <a16:creationId xmlns:a16="http://schemas.microsoft.com/office/drawing/2014/main" id="{00000000-0008-0000-0F00-000080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21" name="Text Box 203">
          <a:extLst>
            <a:ext uri="{FF2B5EF4-FFF2-40B4-BE49-F238E27FC236}">
              <a16:creationId xmlns:a16="http://schemas.microsoft.com/office/drawing/2014/main" id="{00000000-0008-0000-0F00-000081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22" name="Text Box 204">
          <a:extLst>
            <a:ext uri="{FF2B5EF4-FFF2-40B4-BE49-F238E27FC236}">
              <a16:creationId xmlns:a16="http://schemas.microsoft.com/office/drawing/2014/main" id="{00000000-0008-0000-0F00-000082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14300" cy="945696"/>
    <xdr:sp macro="" textlink="">
      <xdr:nvSpPr>
        <xdr:cNvPr id="1923" name="Text Box 205">
          <a:extLst>
            <a:ext uri="{FF2B5EF4-FFF2-40B4-BE49-F238E27FC236}">
              <a16:creationId xmlns:a16="http://schemas.microsoft.com/office/drawing/2014/main" id="{00000000-0008-0000-0F00-00008307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11</xdr:row>
      <xdr:rowOff>0</xdr:rowOff>
    </xdr:from>
    <xdr:ext cx="114300" cy="945696"/>
    <xdr:sp macro="" textlink="">
      <xdr:nvSpPr>
        <xdr:cNvPr id="1924" name="Text Box 206">
          <a:extLst>
            <a:ext uri="{FF2B5EF4-FFF2-40B4-BE49-F238E27FC236}">
              <a16:creationId xmlns:a16="http://schemas.microsoft.com/office/drawing/2014/main" id="{00000000-0008-0000-0F00-00008407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11</xdr:row>
      <xdr:rowOff>0</xdr:rowOff>
    </xdr:from>
    <xdr:ext cx="123825" cy="945696"/>
    <xdr:sp macro="" textlink="">
      <xdr:nvSpPr>
        <xdr:cNvPr id="1925" name="Text Box 207">
          <a:extLst>
            <a:ext uri="{FF2B5EF4-FFF2-40B4-BE49-F238E27FC236}">
              <a16:creationId xmlns:a16="http://schemas.microsoft.com/office/drawing/2014/main" id="{00000000-0008-0000-0F00-000085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11</xdr:row>
      <xdr:rowOff>0</xdr:rowOff>
    </xdr:from>
    <xdr:ext cx="123825" cy="945696"/>
    <xdr:sp macro="" textlink="">
      <xdr:nvSpPr>
        <xdr:cNvPr id="1926" name="Text Box 208">
          <a:extLst>
            <a:ext uri="{FF2B5EF4-FFF2-40B4-BE49-F238E27FC236}">
              <a16:creationId xmlns:a16="http://schemas.microsoft.com/office/drawing/2014/main" id="{00000000-0008-0000-0F00-000086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11</xdr:row>
      <xdr:rowOff>0</xdr:rowOff>
    </xdr:from>
    <xdr:ext cx="123825" cy="945696"/>
    <xdr:sp macro="" textlink="">
      <xdr:nvSpPr>
        <xdr:cNvPr id="1927" name="Text Box 209">
          <a:extLst>
            <a:ext uri="{FF2B5EF4-FFF2-40B4-BE49-F238E27FC236}">
              <a16:creationId xmlns:a16="http://schemas.microsoft.com/office/drawing/2014/main" id="{00000000-0008-0000-0F00-000087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11</xdr:row>
      <xdr:rowOff>0</xdr:rowOff>
    </xdr:from>
    <xdr:ext cx="123825" cy="945696"/>
    <xdr:sp macro="" textlink="">
      <xdr:nvSpPr>
        <xdr:cNvPr id="1928" name="Text Box 210">
          <a:extLst>
            <a:ext uri="{FF2B5EF4-FFF2-40B4-BE49-F238E27FC236}">
              <a16:creationId xmlns:a16="http://schemas.microsoft.com/office/drawing/2014/main" id="{00000000-0008-0000-0F00-000088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29" name="Text Box 211">
          <a:extLst>
            <a:ext uri="{FF2B5EF4-FFF2-40B4-BE49-F238E27FC236}">
              <a16:creationId xmlns:a16="http://schemas.microsoft.com/office/drawing/2014/main" id="{00000000-0008-0000-0F00-000089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30" name="Text Box 212">
          <a:extLst>
            <a:ext uri="{FF2B5EF4-FFF2-40B4-BE49-F238E27FC236}">
              <a16:creationId xmlns:a16="http://schemas.microsoft.com/office/drawing/2014/main" id="{00000000-0008-0000-0F00-00008A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31" name="Text Box 213">
          <a:extLst>
            <a:ext uri="{FF2B5EF4-FFF2-40B4-BE49-F238E27FC236}">
              <a16:creationId xmlns:a16="http://schemas.microsoft.com/office/drawing/2014/main" id="{00000000-0008-0000-0F00-00008B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32" name="Text Box 214">
          <a:extLst>
            <a:ext uri="{FF2B5EF4-FFF2-40B4-BE49-F238E27FC236}">
              <a16:creationId xmlns:a16="http://schemas.microsoft.com/office/drawing/2014/main" id="{00000000-0008-0000-0F00-00008C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33" name="Text Box 197">
          <a:extLst>
            <a:ext uri="{FF2B5EF4-FFF2-40B4-BE49-F238E27FC236}">
              <a16:creationId xmlns:a16="http://schemas.microsoft.com/office/drawing/2014/main" id="{00000000-0008-0000-0F00-00008D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34" name="Text Box 198">
          <a:extLst>
            <a:ext uri="{FF2B5EF4-FFF2-40B4-BE49-F238E27FC236}">
              <a16:creationId xmlns:a16="http://schemas.microsoft.com/office/drawing/2014/main" id="{00000000-0008-0000-0F00-00008E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35" name="Text Box 199">
          <a:extLst>
            <a:ext uri="{FF2B5EF4-FFF2-40B4-BE49-F238E27FC236}">
              <a16:creationId xmlns:a16="http://schemas.microsoft.com/office/drawing/2014/main" id="{00000000-0008-0000-0F00-00008F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36" name="Text Box 200">
          <a:extLst>
            <a:ext uri="{FF2B5EF4-FFF2-40B4-BE49-F238E27FC236}">
              <a16:creationId xmlns:a16="http://schemas.microsoft.com/office/drawing/2014/main" id="{00000000-0008-0000-0F00-000090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37" name="Text Box 201">
          <a:extLst>
            <a:ext uri="{FF2B5EF4-FFF2-40B4-BE49-F238E27FC236}">
              <a16:creationId xmlns:a16="http://schemas.microsoft.com/office/drawing/2014/main" id="{00000000-0008-0000-0F00-000091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38" name="Text Box 202">
          <a:extLst>
            <a:ext uri="{FF2B5EF4-FFF2-40B4-BE49-F238E27FC236}">
              <a16:creationId xmlns:a16="http://schemas.microsoft.com/office/drawing/2014/main" id="{00000000-0008-0000-0F00-000092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39" name="Text Box 203">
          <a:extLst>
            <a:ext uri="{FF2B5EF4-FFF2-40B4-BE49-F238E27FC236}">
              <a16:creationId xmlns:a16="http://schemas.microsoft.com/office/drawing/2014/main" id="{00000000-0008-0000-0F00-000093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40" name="Text Box 204">
          <a:extLst>
            <a:ext uri="{FF2B5EF4-FFF2-40B4-BE49-F238E27FC236}">
              <a16:creationId xmlns:a16="http://schemas.microsoft.com/office/drawing/2014/main" id="{00000000-0008-0000-0F00-000094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14300" cy="945696"/>
    <xdr:sp macro="" textlink="">
      <xdr:nvSpPr>
        <xdr:cNvPr id="1941" name="Text Box 205">
          <a:extLst>
            <a:ext uri="{FF2B5EF4-FFF2-40B4-BE49-F238E27FC236}">
              <a16:creationId xmlns:a16="http://schemas.microsoft.com/office/drawing/2014/main" id="{00000000-0008-0000-0F00-00009507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11</xdr:row>
      <xdr:rowOff>0</xdr:rowOff>
    </xdr:from>
    <xdr:ext cx="114300" cy="945696"/>
    <xdr:sp macro="" textlink="">
      <xdr:nvSpPr>
        <xdr:cNvPr id="1942" name="Text Box 206">
          <a:extLst>
            <a:ext uri="{FF2B5EF4-FFF2-40B4-BE49-F238E27FC236}">
              <a16:creationId xmlns:a16="http://schemas.microsoft.com/office/drawing/2014/main" id="{00000000-0008-0000-0F00-00009607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11</xdr:row>
      <xdr:rowOff>0</xdr:rowOff>
    </xdr:from>
    <xdr:ext cx="123825" cy="945696"/>
    <xdr:sp macro="" textlink="">
      <xdr:nvSpPr>
        <xdr:cNvPr id="1943" name="Text Box 207">
          <a:extLst>
            <a:ext uri="{FF2B5EF4-FFF2-40B4-BE49-F238E27FC236}">
              <a16:creationId xmlns:a16="http://schemas.microsoft.com/office/drawing/2014/main" id="{00000000-0008-0000-0F00-000097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11</xdr:row>
      <xdr:rowOff>0</xdr:rowOff>
    </xdr:from>
    <xdr:ext cx="123825" cy="945696"/>
    <xdr:sp macro="" textlink="">
      <xdr:nvSpPr>
        <xdr:cNvPr id="1944" name="Text Box 208">
          <a:extLst>
            <a:ext uri="{FF2B5EF4-FFF2-40B4-BE49-F238E27FC236}">
              <a16:creationId xmlns:a16="http://schemas.microsoft.com/office/drawing/2014/main" id="{00000000-0008-0000-0F00-000098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11</xdr:row>
      <xdr:rowOff>0</xdr:rowOff>
    </xdr:from>
    <xdr:ext cx="123825" cy="945696"/>
    <xdr:sp macro="" textlink="">
      <xdr:nvSpPr>
        <xdr:cNvPr id="1945" name="Text Box 209">
          <a:extLst>
            <a:ext uri="{FF2B5EF4-FFF2-40B4-BE49-F238E27FC236}">
              <a16:creationId xmlns:a16="http://schemas.microsoft.com/office/drawing/2014/main" id="{00000000-0008-0000-0F00-000099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11</xdr:row>
      <xdr:rowOff>0</xdr:rowOff>
    </xdr:from>
    <xdr:ext cx="123825" cy="945696"/>
    <xdr:sp macro="" textlink="">
      <xdr:nvSpPr>
        <xdr:cNvPr id="1946" name="Text Box 210">
          <a:extLst>
            <a:ext uri="{FF2B5EF4-FFF2-40B4-BE49-F238E27FC236}">
              <a16:creationId xmlns:a16="http://schemas.microsoft.com/office/drawing/2014/main" id="{00000000-0008-0000-0F00-00009A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47" name="Text Box 211">
          <a:extLst>
            <a:ext uri="{FF2B5EF4-FFF2-40B4-BE49-F238E27FC236}">
              <a16:creationId xmlns:a16="http://schemas.microsoft.com/office/drawing/2014/main" id="{00000000-0008-0000-0F00-00009B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48" name="Text Box 212">
          <a:extLst>
            <a:ext uri="{FF2B5EF4-FFF2-40B4-BE49-F238E27FC236}">
              <a16:creationId xmlns:a16="http://schemas.microsoft.com/office/drawing/2014/main" id="{00000000-0008-0000-0F00-00009C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49" name="Text Box 213">
          <a:extLst>
            <a:ext uri="{FF2B5EF4-FFF2-40B4-BE49-F238E27FC236}">
              <a16:creationId xmlns:a16="http://schemas.microsoft.com/office/drawing/2014/main" id="{00000000-0008-0000-0F00-00009D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11</xdr:row>
      <xdr:rowOff>0</xdr:rowOff>
    </xdr:from>
    <xdr:ext cx="123825" cy="831396"/>
    <xdr:sp macro="" textlink="">
      <xdr:nvSpPr>
        <xdr:cNvPr id="1950" name="Text Box 214">
          <a:extLst>
            <a:ext uri="{FF2B5EF4-FFF2-40B4-BE49-F238E27FC236}">
              <a16:creationId xmlns:a16="http://schemas.microsoft.com/office/drawing/2014/main" id="{00000000-0008-0000-0F00-00009E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2</xdr:row>
      <xdr:rowOff>0</xdr:rowOff>
    </xdr:from>
    <xdr:ext cx="123825" cy="938741"/>
    <xdr:sp macro="" textlink="">
      <xdr:nvSpPr>
        <xdr:cNvPr id="1951" name="Text Box 197">
          <a:extLst>
            <a:ext uri="{FF2B5EF4-FFF2-40B4-BE49-F238E27FC236}">
              <a16:creationId xmlns:a16="http://schemas.microsoft.com/office/drawing/2014/main" id="{00000000-0008-0000-0F00-00009F07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2</xdr:row>
      <xdr:rowOff>0</xdr:rowOff>
    </xdr:from>
    <xdr:ext cx="123825" cy="938741"/>
    <xdr:sp macro="" textlink="">
      <xdr:nvSpPr>
        <xdr:cNvPr id="1952" name="Text Box 198">
          <a:extLst>
            <a:ext uri="{FF2B5EF4-FFF2-40B4-BE49-F238E27FC236}">
              <a16:creationId xmlns:a16="http://schemas.microsoft.com/office/drawing/2014/main" id="{00000000-0008-0000-0F00-0000A007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2</xdr:row>
      <xdr:rowOff>0</xdr:rowOff>
    </xdr:from>
    <xdr:ext cx="123825" cy="938741"/>
    <xdr:sp macro="" textlink="">
      <xdr:nvSpPr>
        <xdr:cNvPr id="1953" name="Text Box 199">
          <a:extLst>
            <a:ext uri="{FF2B5EF4-FFF2-40B4-BE49-F238E27FC236}">
              <a16:creationId xmlns:a16="http://schemas.microsoft.com/office/drawing/2014/main" id="{00000000-0008-0000-0F00-0000A107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2</xdr:row>
      <xdr:rowOff>0</xdr:rowOff>
    </xdr:from>
    <xdr:ext cx="123825" cy="938741"/>
    <xdr:sp macro="" textlink="">
      <xdr:nvSpPr>
        <xdr:cNvPr id="1954" name="Text Box 200">
          <a:extLst>
            <a:ext uri="{FF2B5EF4-FFF2-40B4-BE49-F238E27FC236}">
              <a16:creationId xmlns:a16="http://schemas.microsoft.com/office/drawing/2014/main" id="{00000000-0008-0000-0F00-0000A207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2</xdr:row>
      <xdr:rowOff>0</xdr:rowOff>
    </xdr:from>
    <xdr:ext cx="123825" cy="938741"/>
    <xdr:sp macro="" textlink="">
      <xdr:nvSpPr>
        <xdr:cNvPr id="1955" name="Text Box 201">
          <a:extLst>
            <a:ext uri="{FF2B5EF4-FFF2-40B4-BE49-F238E27FC236}">
              <a16:creationId xmlns:a16="http://schemas.microsoft.com/office/drawing/2014/main" id="{00000000-0008-0000-0F00-0000A307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2</xdr:row>
      <xdr:rowOff>0</xdr:rowOff>
    </xdr:from>
    <xdr:ext cx="123825" cy="938741"/>
    <xdr:sp macro="" textlink="">
      <xdr:nvSpPr>
        <xdr:cNvPr id="1956" name="Text Box 202">
          <a:extLst>
            <a:ext uri="{FF2B5EF4-FFF2-40B4-BE49-F238E27FC236}">
              <a16:creationId xmlns:a16="http://schemas.microsoft.com/office/drawing/2014/main" id="{00000000-0008-0000-0F00-0000A407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2</xdr:row>
      <xdr:rowOff>0</xdr:rowOff>
    </xdr:from>
    <xdr:ext cx="123825" cy="938741"/>
    <xdr:sp macro="" textlink="">
      <xdr:nvSpPr>
        <xdr:cNvPr id="1957" name="Text Box 203">
          <a:extLst>
            <a:ext uri="{FF2B5EF4-FFF2-40B4-BE49-F238E27FC236}">
              <a16:creationId xmlns:a16="http://schemas.microsoft.com/office/drawing/2014/main" id="{00000000-0008-0000-0F00-0000A507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2</xdr:row>
      <xdr:rowOff>0</xdr:rowOff>
    </xdr:from>
    <xdr:ext cx="123825" cy="938741"/>
    <xdr:sp macro="" textlink="">
      <xdr:nvSpPr>
        <xdr:cNvPr id="1958" name="Text Box 204">
          <a:extLst>
            <a:ext uri="{FF2B5EF4-FFF2-40B4-BE49-F238E27FC236}">
              <a16:creationId xmlns:a16="http://schemas.microsoft.com/office/drawing/2014/main" id="{00000000-0008-0000-0F00-0000A607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2</xdr:row>
      <xdr:rowOff>0</xdr:rowOff>
    </xdr:from>
    <xdr:ext cx="114300" cy="1053041"/>
    <xdr:sp macro="" textlink="">
      <xdr:nvSpPr>
        <xdr:cNvPr id="1959" name="Text Box 205">
          <a:extLst>
            <a:ext uri="{FF2B5EF4-FFF2-40B4-BE49-F238E27FC236}">
              <a16:creationId xmlns:a16="http://schemas.microsoft.com/office/drawing/2014/main" id="{00000000-0008-0000-0F00-0000A7070000}"/>
            </a:ext>
          </a:extLst>
        </xdr:cNvPr>
        <xdr:cNvSpPr txBox="1">
          <a:spLocks noChangeArrowheads="1"/>
        </xdr:cNvSpPr>
      </xdr:nvSpPr>
      <xdr:spPr bwMode="auto">
        <a:xfrm>
          <a:off x="3100917" y="4921250"/>
          <a:ext cx="114300" cy="1053041"/>
        </a:xfrm>
        <a:prstGeom prst="rect">
          <a:avLst/>
        </a:prstGeom>
        <a:noFill/>
        <a:ln w="9525">
          <a:noFill/>
          <a:miter lim="800000"/>
          <a:headEnd/>
          <a:tailEnd/>
        </a:ln>
      </xdr:spPr>
    </xdr:sp>
    <xdr:clientData/>
  </xdr:oneCellAnchor>
  <xdr:oneCellAnchor>
    <xdr:from>
      <xdr:col>4</xdr:col>
      <xdr:colOff>0</xdr:colOff>
      <xdr:row>2</xdr:row>
      <xdr:rowOff>0</xdr:rowOff>
    </xdr:from>
    <xdr:ext cx="114300" cy="1053041"/>
    <xdr:sp macro="" textlink="">
      <xdr:nvSpPr>
        <xdr:cNvPr id="1960" name="Text Box 206">
          <a:extLst>
            <a:ext uri="{FF2B5EF4-FFF2-40B4-BE49-F238E27FC236}">
              <a16:creationId xmlns:a16="http://schemas.microsoft.com/office/drawing/2014/main" id="{00000000-0008-0000-0F00-0000A8070000}"/>
            </a:ext>
          </a:extLst>
        </xdr:cNvPr>
        <xdr:cNvSpPr txBox="1">
          <a:spLocks noChangeArrowheads="1"/>
        </xdr:cNvSpPr>
      </xdr:nvSpPr>
      <xdr:spPr bwMode="auto">
        <a:xfrm>
          <a:off x="3100917" y="4921250"/>
          <a:ext cx="114300" cy="1053041"/>
        </a:xfrm>
        <a:prstGeom prst="rect">
          <a:avLst/>
        </a:prstGeom>
        <a:noFill/>
        <a:ln w="9525">
          <a:noFill/>
          <a:miter lim="800000"/>
          <a:headEnd/>
          <a:tailEnd/>
        </a:ln>
      </xdr:spPr>
    </xdr:sp>
    <xdr:clientData/>
  </xdr:oneCellAnchor>
  <xdr:oneCellAnchor>
    <xdr:from>
      <xdr:col>4</xdr:col>
      <xdr:colOff>0</xdr:colOff>
      <xdr:row>2</xdr:row>
      <xdr:rowOff>0</xdr:rowOff>
    </xdr:from>
    <xdr:ext cx="123825" cy="1053041"/>
    <xdr:sp macro="" textlink="">
      <xdr:nvSpPr>
        <xdr:cNvPr id="1961" name="Text Box 207">
          <a:extLst>
            <a:ext uri="{FF2B5EF4-FFF2-40B4-BE49-F238E27FC236}">
              <a16:creationId xmlns:a16="http://schemas.microsoft.com/office/drawing/2014/main" id="{00000000-0008-0000-0F00-0000A907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2</xdr:row>
      <xdr:rowOff>0</xdr:rowOff>
    </xdr:from>
    <xdr:ext cx="123825" cy="1053041"/>
    <xdr:sp macro="" textlink="">
      <xdr:nvSpPr>
        <xdr:cNvPr id="1962" name="Text Box 208">
          <a:extLst>
            <a:ext uri="{FF2B5EF4-FFF2-40B4-BE49-F238E27FC236}">
              <a16:creationId xmlns:a16="http://schemas.microsoft.com/office/drawing/2014/main" id="{00000000-0008-0000-0F00-0000AA07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2</xdr:row>
      <xdr:rowOff>0</xdr:rowOff>
    </xdr:from>
    <xdr:ext cx="123825" cy="1053041"/>
    <xdr:sp macro="" textlink="">
      <xdr:nvSpPr>
        <xdr:cNvPr id="1963" name="Text Box 209">
          <a:extLst>
            <a:ext uri="{FF2B5EF4-FFF2-40B4-BE49-F238E27FC236}">
              <a16:creationId xmlns:a16="http://schemas.microsoft.com/office/drawing/2014/main" id="{00000000-0008-0000-0F00-0000AB07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2</xdr:row>
      <xdr:rowOff>0</xdr:rowOff>
    </xdr:from>
    <xdr:ext cx="123825" cy="1053041"/>
    <xdr:sp macro="" textlink="">
      <xdr:nvSpPr>
        <xdr:cNvPr id="1964" name="Text Box 210">
          <a:extLst>
            <a:ext uri="{FF2B5EF4-FFF2-40B4-BE49-F238E27FC236}">
              <a16:creationId xmlns:a16="http://schemas.microsoft.com/office/drawing/2014/main" id="{00000000-0008-0000-0F00-0000AC07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2</xdr:row>
      <xdr:rowOff>0</xdr:rowOff>
    </xdr:from>
    <xdr:ext cx="123825" cy="938741"/>
    <xdr:sp macro="" textlink="">
      <xdr:nvSpPr>
        <xdr:cNvPr id="1965" name="Text Box 211">
          <a:extLst>
            <a:ext uri="{FF2B5EF4-FFF2-40B4-BE49-F238E27FC236}">
              <a16:creationId xmlns:a16="http://schemas.microsoft.com/office/drawing/2014/main" id="{00000000-0008-0000-0F00-0000AD07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2</xdr:row>
      <xdr:rowOff>0</xdr:rowOff>
    </xdr:from>
    <xdr:ext cx="123825" cy="938741"/>
    <xdr:sp macro="" textlink="">
      <xdr:nvSpPr>
        <xdr:cNvPr id="1966" name="Text Box 212">
          <a:extLst>
            <a:ext uri="{FF2B5EF4-FFF2-40B4-BE49-F238E27FC236}">
              <a16:creationId xmlns:a16="http://schemas.microsoft.com/office/drawing/2014/main" id="{00000000-0008-0000-0F00-0000AE07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2</xdr:row>
      <xdr:rowOff>0</xdr:rowOff>
    </xdr:from>
    <xdr:ext cx="123825" cy="938741"/>
    <xdr:sp macro="" textlink="">
      <xdr:nvSpPr>
        <xdr:cNvPr id="1967" name="Text Box 213">
          <a:extLst>
            <a:ext uri="{FF2B5EF4-FFF2-40B4-BE49-F238E27FC236}">
              <a16:creationId xmlns:a16="http://schemas.microsoft.com/office/drawing/2014/main" id="{00000000-0008-0000-0F00-0000AF07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2</xdr:row>
      <xdr:rowOff>0</xdr:rowOff>
    </xdr:from>
    <xdr:ext cx="123825" cy="938741"/>
    <xdr:sp macro="" textlink="">
      <xdr:nvSpPr>
        <xdr:cNvPr id="1968" name="Text Box 214">
          <a:extLst>
            <a:ext uri="{FF2B5EF4-FFF2-40B4-BE49-F238E27FC236}">
              <a16:creationId xmlns:a16="http://schemas.microsoft.com/office/drawing/2014/main" id="{00000000-0008-0000-0F00-0000B007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1969" name="Text Box 197">
          <a:extLst>
            <a:ext uri="{FF2B5EF4-FFF2-40B4-BE49-F238E27FC236}">
              <a16:creationId xmlns:a16="http://schemas.microsoft.com/office/drawing/2014/main" id="{00000000-0008-0000-0F00-0000B1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1970" name="Text Box 198">
          <a:extLst>
            <a:ext uri="{FF2B5EF4-FFF2-40B4-BE49-F238E27FC236}">
              <a16:creationId xmlns:a16="http://schemas.microsoft.com/office/drawing/2014/main" id="{00000000-0008-0000-0F00-0000B2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1971" name="Text Box 199">
          <a:extLst>
            <a:ext uri="{FF2B5EF4-FFF2-40B4-BE49-F238E27FC236}">
              <a16:creationId xmlns:a16="http://schemas.microsoft.com/office/drawing/2014/main" id="{00000000-0008-0000-0F00-0000B3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1972" name="Text Box 200">
          <a:extLst>
            <a:ext uri="{FF2B5EF4-FFF2-40B4-BE49-F238E27FC236}">
              <a16:creationId xmlns:a16="http://schemas.microsoft.com/office/drawing/2014/main" id="{00000000-0008-0000-0F00-0000B4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1973" name="Text Box 201">
          <a:extLst>
            <a:ext uri="{FF2B5EF4-FFF2-40B4-BE49-F238E27FC236}">
              <a16:creationId xmlns:a16="http://schemas.microsoft.com/office/drawing/2014/main" id="{00000000-0008-0000-0F00-0000B5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1974" name="Text Box 202">
          <a:extLst>
            <a:ext uri="{FF2B5EF4-FFF2-40B4-BE49-F238E27FC236}">
              <a16:creationId xmlns:a16="http://schemas.microsoft.com/office/drawing/2014/main" id="{00000000-0008-0000-0F00-0000B6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1975" name="Text Box 203">
          <a:extLst>
            <a:ext uri="{FF2B5EF4-FFF2-40B4-BE49-F238E27FC236}">
              <a16:creationId xmlns:a16="http://schemas.microsoft.com/office/drawing/2014/main" id="{00000000-0008-0000-0F00-0000B7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1976" name="Text Box 204">
          <a:extLst>
            <a:ext uri="{FF2B5EF4-FFF2-40B4-BE49-F238E27FC236}">
              <a16:creationId xmlns:a16="http://schemas.microsoft.com/office/drawing/2014/main" id="{00000000-0008-0000-0F00-0000B8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14300" cy="945696"/>
    <xdr:sp macro="" textlink="">
      <xdr:nvSpPr>
        <xdr:cNvPr id="1977" name="Text Box 205">
          <a:extLst>
            <a:ext uri="{FF2B5EF4-FFF2-40B4-BE49-F238E27FC236}">
              <a16:creationId xmlns:a16="http://schemas.microsoft.com/office/drawing/2014/main" id="{00000000-0008-0000-0F00-0000B907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3</xdr:row>
      <xdr:rowOff>0</xdr:rowOff>
    </xdr:from>
    <xdr:ext cx="114300" cy="945696"/>
    <xdr:sp macro="" textlink="">
      <xdr:nvSpPr>
        <xdr:cNvPr id="1978" name="Text Box 206">
          <a:extLst>
            <a:ext uri="{FF2B5EF4-FFF2-40B4-BE49-F238E27FC236}">
              <a16:creationId xmlns:a16="http://schemas.microsoft.com/office/drawing/2014/main" id="{00000000-0008-0000-0F00-0000BA07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3</xdr:row>
      <xdr:rowOff>0</xdr:rowOff>
    </xdr:from>
    <xdr:ext cx="123825" cy="945696"/>
    <xdr:sp macro="" textlink="">
      <xdr:nvSpPr>
        <xdr:cNvPr id="1979" name="Text Box 207">
          <a:extLst>
            <a:ext uri="{FF2B5EF4-FFF2-40B4-BE49-F238E27FC236}">
              <a16:creationId xmlns:a16="http://schemas.microsoft.com/office/drawing/2014/main" id="{00000000-0008-0000-0F00-0000BB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3</xdr:row>
      <xdr:rowOff>0</xdr:rowOff>
    </xdr:from>
    <xdr:ext cx="123825" cy="945696"/>
    <xdr:sp macro="" textlink="">
      <xdr:nvSpPr>
        <xdr:cNvPr id="1980" name="Text Box 208">
          <a:extLst>
            <a:ext uri="{FF2B5EF4-FFF2-40B4-BE49-F238E27FC236}">
              <a16:creationId xmlns:a16="http://schemas.microsoft.com/office/drawing/2014/main" id="{00000000-0008-0000-0F00-0000BC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3</xdr:row>
      <xdr:rowOff>0</xdr:rowOff>
    </xdr:from>
    <xdr:ext cx="123825" cy="945696"/>
    <xdr:sp macro="" textlink="">
      <xdr:nvSpPr>
        <xdr:cNvPr id="1981" name="Text Box 209">
          <a:extLst>
            <a:ext uri="{FF2B5EF4-FFF2-40B4-BE49-F238E27FC236}">
              <a16:creationId xmlns:a16="http://schemas.microsoft.com/office/drawing/2014/main" id="{00000000-0008-0000-0F00-0000BD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3</xdr:row>
      <xdr:rowOff>0</xdr:rowOff>
    </xdr:from>
    <xdr:ext cx="123825" cy="945696"/>
    <xdr:sp macro="" textlink="">
      <xdr:nvSpPr>
        <xdr:cNvPr id="1982" name="Text Box 210">
          <a:extLst>
            <a:ext uri="{FF2B5EF4-FFF2-40B4-BE49-F238E27FC236}">
              <a16:creationId xmlns:a16="http://schemas.microsoft.com/office/drawing/2014/main" id="{00000000-0008-0000-0F00-0000BE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1983" name="Text Box 211">
          <a:extLst>
            <a:ext uri="{FF2B5EF4-FFF2-40B4-BE49-F238E27FC236}">
              <a16:creationId xmlns:a16="http://schemas.microsoft.com/office/drawing/2014/main" id="{00000000-0008-0000-0F00-0000BF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1984" name="Text Box 212">
          <a:extLst>
            <a:ext uri="{FF2B5EF4-FFF2-40B4-BE49-F238E27FC236}">
              <a16:creationId xmlns:a16="http://schemas.microsoft.com/office/drawing/2014/main" id="{00000000-0008-0000-0F00-0000C0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1985" name="Text Box 213">
          <a:extLst>
            <a:ext uri="{FF2B5EF4-FFF2-40B4-BE49-F238E27FC236}">
              <a16:creationId xmlns:a16="http://schemas.microsoft.com/office/drawing/2014/main" id="{00000000-0008-0000-0F00-0000C1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1986" name="Text Box 214">
          <a:extLst>
            <a:ext uri="{FF2B5EF4-FFF2-40B4-BE49-F238E27FC236}">
              <a16:creationId xmlns:a16="http://schemas.microsoft.com/office/drawing/2014/main" id="{00000000-0008-0000-0F00-0000C2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2</xdr:row>
      <xdr:rowOff>0</xdr:rowOff>
    </xdr:from>
    <xdr:ext cx="123825" cy="934660"/>
    <xdr:sp macro="" textlink="">
      <xdr:nvSpPr>
        <xdr:cNvPr id="1987" name="Text Box 197">
          <a:extLst>
            <a:ext uri="{FF2B5EF4-FFF2-40B4-BE49-F238E27FC236}">
              <a16:creationId xmlns:a16="http://schemas.microsoft.com/office/drawing/2014/main" id="{00000000-0008-0000-0F00-0000C3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2</xdr:row>
      <xdr:rowOff>0</xdr:rowOff>
    </xdr:from>
    <xdr:ext cx="123825" cy="934660"/>
    <xdr:sp macro="" textlink="">
      <xdr:nvSpPr>
        <xdr:cNvPr id="1988" name="Text Box 198">
          <a:extLst>
            <a:ext uri="{FF2B5EF4-FFF2-40B4-BE49-F238E27FC236}">
              <a16:creationId xmlns:a16="http://schemas.microsoft.com/office/drawing/2014/main" id="{00000000-0008-0000-0F00-0000C4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2</xdr:row>
      <xdr:rowOff>0</xdr:rowOff>
    </xdr:from>
    <xdr:ext cx="123825" cy="934660"/>
    <xdr:sp macro="" textlink="">
      <xdr:nvSpPr>
        <xdr:cNvPr id="1989" name="Text Box 199">
          <a:extLst>
            <a:ext uri="{FF2B5EF4-FFF2-40B4-BE49-F238E27FC236}">
              <a16:creationId xmlns:a16="http://schemas.microsoft.com/office/drawing/2014/main" id="{00000000-0008-0000-0F00-0000C5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2</xdr:row>
      <xdr:rowOff>0</xdr:rowOff>
    </xdr:from>
    <xdr:ext cx="123825" cy="934660"/>
    <xdr:sp macro="" textlink="">
      <xdr:nvSpPr>
        <xdr:cNvPr id="1990" name="Text Box 200">
          <a:extLst>
            <a:ext uri="{FF2B5EF4-FFF2-40B4-BE49-F238E27FC236}">
              <a16:creationId xmlns:a16="http://schemas.microsoft.com/office/drawing/2014/main" id="{00000000-0008-0000-0F00-0000C6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2</xdr:row>
      <xdr:rowOff>0</xdr:rowOff>
    </xdr:from>
    <xdr:ext cx="123825" cy="934660"/>
    <xdr:sp macro="" textlink="">
      <xdr:nvSpPr>
        <xdr:cNvPr id="1991" name="Text Box 201">
          <a:extLst>
            <a:ext uri="{FF2B5EF4-FFF2-40B4-BE49-F238E27FC236}">
              <a16:creationId xmlns:a16="http://schemas.microsoft.com/office/drawing/2014/main" id="{00000000-0008-0000-0F00-0000C7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2</xdr:row>
      <xdr:rowOff>0</xdr:rowOff>
    </xdr:from>
    <xdr:ext cx="123825" cy="934660"/>
    <xdr:sp macro="" textlink="">
      <xdr:nvSpPr>
        <xdr:cNvPr id="1992" name="Text Box 202">
          <a:extLst>
            <a:ext uri="{FF2B5EF4-FFF2-40B4-BE49-F238E27FC236}">
              <a16:creationId xmlns:a16="http://schemas.microsoft.com/office/drawing/2014/main" id="{00000000-0008-0000-0F00-0000C8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2</xdr:row>
      <xdr:rowOff>0</xdr:rowOff>
    </xdr:from>
    <xdr:ext cx="123825" cy="934660"/>
    <xdr:sp macro="" textlink="">
      <xdr:nvSpPr>
        <xdr:cNvPr id="1993" name="Text Box 203">
          <a:extLst>
            <a:ext uri="{FF2B5EF4-FFF2-40B4-BE49-F238E27FC236}">
              <a16:creationId xmlns:a16="http://schemas.microsoft.com/office/drawing/2014/main" id="{00000000-0008-0000-0F00-0000C9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2</xdr:row>
      <xdr:rowOff>0</xdr:rowOff>
    </xdr:from>
    <xdr:ext cx="123825" cy="934660"/>
    <xdr:sp macro="" textlink="">
      <xdr:nvSpPr>
        <xdr:cNvPr id="1994" name="Text Box 204">
          <a:extLst>
            <a:ext uri="{FF2B5EF4-FFF2-40B4-BE49-F238E27FC236}">
              <a16:creationId xmlns:a16="http://schemas.microsoft.com/office/drawing/2014/main" id="{00000000-0008-0000-0F00-0000CA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2</xdr:row>
      <xdr:rowOff>0</xdr:rowOff>
    </xdr:from>
    <xdr:ext cx="114300" cy="1048960"/>
    <xdr:sp macro="" textlink="">
      <xdr:nvSpPr>
        <xdr:cNvPr id="1995" name="Text Box 205">
          <a:extLst>
            <a:ext uri="{FF2B5EF4-FFF2-40B4-BE49-F238E27FC236}">
              <a16:creationId xmlns:a16="http://schemas.microsoft.com/office/drawing/2014/main" id="{00000000-0008-0000-0F00-0000CB070000}"/>
            </a:ext>
          </a:extLst>
        </xdr:cNvPr>
        <xdr:cNvSpPr txBox="1">
          <a:spLocks noChangeArrowheads="1"/>
        </xdr:cNvSpPr>
      </xdr:nvSpPr>
      <xdr:spPr bwMode="auto">
        <a:xfrm>
          <a:off x="3100917" y="4921250"/>
          <a:ext cx="114300" cy="1048960"/>
        </a:xfrm>
        <a:prstGeom prst="rect">
          <a:avLst/>
        </a:prstGeom>
        <a:noFill/>
        <a:ln w="9525">
          <a:noFill/>
          <a:miter lim="800000"/>
          <a:headEnd/>
          <a:tailEnd/>
        </a:ln>
      </xdr:spPr>
    </xdr:sp>
    <xdr:clientData/>
  </xdr:oneCellAnchor>
  <xdr:oneCellAnchor>
    <xdr:from>
      <xdr:col>4</xdr:col>
      <xdr:colOff>0</xdr:colOff>
      <xdr:row>2</xdr:row>
      <xdr:rowOff>0</xdr:rowOff>
    </xdr:from>
    <xdr:ext cx="114300" cy="1048960"/>
    <xdr:sp macro="" textlink="">
      <xdr:nvSpPr>
        <xdr:cNvPr id="1996" name="Text Box 206">
          <a:extLst>
            <a:ext uri="{FF2B5EF4-FFF2-40B4-BE49-F238E27FC236}">
              <a16:creationId xmlns:a16="http://schemas.microsoft.com/office/drawing/2014/main" id="{00000000-0008-0000-0F00-0000CC070000}"/>
            </a:ext>
          </a:extLst>
        </xdr:cNvPr>
        <xdr:cNvSpPr txBox="1">
          <a:spLocks noChangeArrowheads="1"/>
        </xdr:cNvSpPr>
      </xdr:nvSpPr>
      <xdr:spPr bwMode="auto">
        <a:xfrm>
          <a:off x="3100917" y="4921250"/>
          <a:ext cx="114300" cy="1048960"/>
        </a:xfrm>
        <a:prstGeom prst="rect">
          <a:avLst/>
        </a:prstGeom>
        <a:noFill/>
        <a:ln w="9525">
          <a:noFill/>
          <a:miter lim="800000"/>
          <a:headEnd/>
          <a:tailEnd/>
        </a:ln>
      </xdr:spPr>
    </xdr:sp>
    <xdr:clientData/>
  </xdr:oneCellAnchor>
  <xdr:oneCellAnchor>
    <xdr:from>
      <xdr:col>4</xdr:col>
      <xdr:colOff>0</xdr:colOff>
      <xdr:row>2</xdr:row>
      <xdr:rowOff>0</xdr:rowOff>
    </xdr:from>
    <xdr:ext cx="123825" cy="1048960"/>
    <xdr:sp macro="" textlink="">
      <xdr:nvSpPr>
        <xdr:cNvPr id="1997" name="Text Box 207">
          <a:extLst>
            <a:ext uri="{FF2B5EF4-FFF2-40B4-BE49-F238E27FC236}">
              <a16:creationId xmlns:a16="http://schemas.microsoft.com/office/drawing/2014/main" id="{00000000-0008-0000-0F00-0000CD07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2</xdr:row>
      <xdr:rowOff>0</xdr:rowOff>
    </xdr:from>
    <xdr:ext cx="123825" cy="1048960"/>
    <xdr:sp macro="" textlink="">
      <xdr:nvSpPr>
        <xdr:cNvPr id="1998" name="Text Box 208">
          <a:extLst>
            <a:ext uri="{FF2B5EF4-FFF2-40B4-BE49-F238E27FC236}">
              <a16:creationId xmlns:a16="http://schemas.microsoft.com/office/drawing/2014/main" id="{00000000-0008-0000-0F00-0000CE07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2</xdr:row>
      <xdr:rowOff>0</xdr:rowOff>
    </xdr:from>
    <xdr:ext cx="123825" cy="1048960"/>
    <xdr:sp macro="" textlink="">
      <xdr:nvSpPr>
        <xdr:cNvPr id="1999" name="Text Box 209">
          <a:extLst>
            <a:ext uri="{FF2B5EF4-FFF2-40B4-BE49-F238E27FC236}">
              <a16:creationId xmlns:a16="http://schemas.microsoft.com/office/drawing/2014/main" id="{00000000-0008-0000-0F00-0000CF07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2</xdr:row>
      <xdr:rowOff>0</xdr:rowOff>
    </xdr:from>
    <xdr:ext cx="123825" cy="1048960"/>
    <xdr:sp macro="" textlink="">
      <xdr:nvSpPr>
        <xdr:cNvPr id="2000" name="Text Box 210">
          <a:extLst>
            <a:ext uri="{FF2B5EF4-FFF2-40B4-BE49-F238E27FC236}">
              <a16:creationId xmlns:a16="http://schemas.microsoft.com/office/drawing/2014/main" id="{00000000-0008-0000-0F00-0000D007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2</xdr:row>
      <xdr:rowOff>0</xdr:rowOff>
    </xdr:from>
    <xdr:ext cx="123825" cy="934660"/>
    <xdr:sp macro="" textlink="">
      <xdr:nvSpPr>
        <xdr:cNvPr id="2001" name="Text Box 211">
          <a:extLst>
            <a:ext uri="{FF2B5EF4-FFF2-40B4-BE49-F238E27FC236}">
              <a16:creationId xmlns:a16="http://schemas.microsoft.com/office/drawing/2014/main" id="{00000000-0008-0000-0F00-0000D1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2</xdr:row>
      <xdr:rowOff>0</xdr:rowOff>
    </xdr:from>
    <xdr:ext cx="123825" cy="934660"/>
    <xdr:sp macro="" textlink="">
      <xdr:nvSpPr>
        <xdr:cNvPr id="2002" name="Text Box 212">
          <a:extLst>
            <a:ext uri="{FF2B5EF4-FFF2-40B4-BE49-F238E27FC236}">
              <a16:creationId xmlns:a16="http://schemas.microsoft.com/office/drawing/2014/main" id="{00000000-0008-0000-0F00-0000D2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2</xdr:row>
      <xdr:rowOff>0</xdr:rowOff>
    </xdr:from>
    <xdr:ext cx="123825" cy="934660"/>
    <xdr:sp macro="" textlink="">
      <xdr:nvSpPr>
        <xdr:cNvPr id="2003" name="Text Box 213">
          <a:extLst>
            <a:ext uri="{FF2B5EF4-FFF2-40B4-BE49-F238E27FC236}">
              <a16:creationId xmlns:a16="http://schemas.microsoft.com/office/drawing/2014/main" id="{00000000-0008-0000-0F00-0000D3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2</xdr:row>
      <xdr:rowOff>0</xdr:rowOff>
    </xdr:from>
    <xdr:ext cx="123825" cy="934660"/>
    <xdr:sp macro="" textlink="">
      <xdr:nvSpPr>
        <xdr:cNvPr id="2004" name="Text Box 214">
          <a:extLst>
            <a:ext uri="{FF2B5EF4-FFF2-40B4-BE49-F238E27FC236}">
              <a16:creationId xmlns:a16="http://schemas.microsoft.com/office/drawing/2014/main" id="{00000000-0008-0000-0F00-0000D407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2005" name="Text Box 197">
          <a:extLst>
            <a:ext uri="{FF2B5EF4-FFF2-40B4-BE49-F238E27FC236}">
              <a16:creationId xmlns:a16="http://schemas.microsoft.com/office/drawing/2014/main" id="{00000000-0008-0000-0F00-0000D5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2006" name="Text Box 198">
          <a:extLst>
            <a:ext uri="{FF2B5EF4-FFF2-40B4-BE49-F238E27FC236}">
              <a16:creationId xmlns:a16="http://schemas.microsoft.com/office/drawing/2014/main" id="{00000000-0008-0000-0F00-0000D6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2007" name="Text Box 199">
          <a:extLst>
            <a:ext uri="{FF2B5EF4-FFF2-40B4-BE49-F238E27FC236}">
              <a16:creationId xmlns:a16="http://schemas.microsoft.com/office/drawing/2014/main" id="{00000000-0008-0000-0F00-0000D7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2008" name="Text Box 200">
          <a:extLst>
            <a:ext uri="{FF2B5EF4-FFF2-40B4-BE49-F238E27FC236}">
              <a16:creationId xmlns:a16="http://schemas.microsoft.com/office/drawing/2014/main" id="{00000000-0008-0000-0F00-0000D8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2009" name="Text Box 201">
          <a:extLst>
            <a:ext uri="{FF2B5EF4-FFF2-40B4-BE49-F238E27FC236}">
              <a16:creationId xmlns:a16="http://schemas.microsoft.com/office/drawing/2014/main" id="{00000000-0008-0000-0F00-0000D9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2010" name="Text Box 202">
          <a:extLst>
            <a:ext uri="{FF2B5EF4-FFF2-40B4-BE49-F238E27FC236}">
              <a16:creationId xmlns:a16="http://schemas.microsoft.com/office/drawing/2014/main" id="{00000000-0008-0000-0F00-0000DA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2011" name="Text Box 203">
          <a:extLst>
            <a:ext uri="{FF2B5EF4-FFF2-40B4-BE49-F238E27FC236}">
              <a16:creationId xmlns:a16="http://schemas.microsoft.com/office/drawing/2014/main" id="{00000000-0008-0000-0F00-0000DB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2012" name="Text Box 204">
          <a:extLst>
            <a:ext uri="{FF2B5EF4-FFF2-40B4-BE49-F238E27FC236}">
              <a16:creationId xmlns:a16="http://schemas.microsoft.com/office/drawing/2014/main" id="{00000000-0008-0000-0F00-0000DC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14300" cy="945696"/>
    <xdr:sp macro="" textlink="">
      <xdr:nvSpPr>
        <xdr:cNvPr id="2013" name="Text Box 205">
          <a:extLst>
            <a:ext uri="{FF2B5EF4-FFF2-40B4-BE49-F238E27FC236}">
              <a16:creationId xmlns:a16="http://schemas.microsoft.com/office/drawing/2014/main" id="{00000000-0008-0000-0F00-0000DD07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3</xdr:row>
      <xdr:rowOff>0</xdr:rowOff>
    </xdr:from>
    <xdr:ext cx="114300" cy="945696"/>
    <xdr:sp macro="" textlink="">
      <xdr:nvSpPr>
        <xdr:cNvPr id="2014" name="Text Box 206">
          <a:extLst>
            <a:ext uri="{FF2B5EF4-FFF2-40B4-BE49-F238E27FC236}">
              <a16:creationId xmlns:a16="http://schemas.microsoft.com/office/drawing/2014/main" id="{00000000-0008-0000-0F00-0000DE07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3</xdr:row>
      <xdr:rowOff>0</xdr:rowOff>
    </xdr:from>
    <xdr:ext cx="123825" cy="945696"/>
    <xdr:sp macro="" textlink="">
      <xdr:nvSpPr>
        <xdr:cNvPr id="2015" name="Text Box 207">
          <a:extLst>
            <a:ext uri="{FF2B5EF4-FFF2-40B4-BE49-F238E27FC236}">
              <a16:creationId xmlns:a16="http://schemas.microsoft.com/office/drawing/2014/main" id="{00000000-0008-0000-0F00-0000DF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3</xdr:row>
      <xdr:rowOff>0</xdr:rowOff>
    </xdr:from>
    <xdr:ext cx="123825" cy="945696"/>
    <xdr:sp macro="" textlink="">
      <xdr:nvSpPr>
        <xdr:cNvPr id="2016" name="Text Box 208">
          <a:extLst>
            <a:ext uri="{FF2B5EF4-FFF2-40B4-BE49-F238E27FC236}">
              <a16:creationId xmlns:a16="http://schemas.microsoft.com/office/drawing/2014/main" id="{00000000-0008-0000-0F00-0000E0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3</xdr:row>
      <xdr:rowOff>0</xdr:rowOff>
    </xdr:from>
    <xdr:ext cx="123825" cy="945696"/>
    <xdr:sp macro="" textlink="">
      <xdr:nvSpPr>
        <xdr:cNvPr id="2017" name="Text Box 209">
          <a:extLst>
            <a:ext uri="{FF2B5EF4-FFF2-40B4-BE49-F238E27FC236}">
              <a16:creationId xmlns:a16="http://schemas.microsoft.com/office/drawing/2014/main" id="{00000000-0008-0000-0F00-0000E1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3</xdr:row>
      <xdr:rowOff>0</xdr:rowOff>
    </xdr:from>
    <xdr:ext cx="123825" cy="945696"/>
    <xdr:sp macro="" textlink="">
      <xdr:nvSpPr>
        <xdr:cNvPr id="2018" name="Text Box 210">
          <a:extLst>
            <a:ext uri="{FF2B5EF4-FFF2-40B4-BE49-F238E27FC236}">
              <a16:creationId xmlns:a16="http://schemas.microsoft.com/office/drawing/2014/main" id="{00000000-0008-0000-0F00-0000E207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2019" name="Text Box 211">
          <a:extLst>
            <a:ext uri="{FF2B5EF4-FFF2-40B4-BE49-F238E27FC236}">
              <a16:creationId xmlns:a16="http://schemas.microsoft.com/office/drawing/2014/main" id="{00000000-0008-0000-0F00-0000E3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2020" name="Text Box 212">
          <a:extLst>
            <a:ext uri="{FF2B5EF4-FFF2-40B4-BE49-F238E27FC236}">
              <a16:creationId xmlns:a16="http://schemas.microsoft.com/office/drawing/2014/main" id="{00000000-0008-0000-0F00-0000E4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2021" name="Text Box 213">
          <a:extLst>
            <a:ext uri="{FF2B5EF4-FFF2-40B4-BE49-F238E27FC236}">
              <a16:creationId xmlns:a16="http://schemas.microsoft.com/office/drawing/2014/main" id="{00000000-0008-0000-0F00-0000E5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831396"/>
    <xdr:sp macro="" textlink="">
      <xdr:nvSpPr>
        <xdr:cNvPr id="2022" name="Text Box 214">
          <a:extLst>
            <a:ext uri="{FF2B5EF4-FFF2-40B4-BE49-F238E27FC236}">
              <a16:creationId xmlns:a16="http://schemas.microsoft.com/office/drawing/2014/main" id="{00000000-0008-0000-0F00-0000E607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7</xdr:col>
      <xdr:colOff>0</xdr:colOff>
      <xdr:row>2</xdr:row>
      <xdr:rowOff>0</xdr:rowOff>
    </xdr:from>
    <xdr:ext cx="123825" cy="940252"/>
    <xdr:sp macro="" textlink="">
      <xdr:nvSpPr>
        <xdr:cNvPr id="2023" name="Text Box 197">
          <a:extLst>
            <a:ext uri="{FF2B5EF4-FFF2-40B4-BE49-F238E27FC236}">
              <a16:creationId xmlns:a16="http://schemas.microsoft.com/office/drawing/2014/main" id="{00000000-0008-0000-0F00-0000E7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2</xdr:row>
      <xdr:rowOff>0</xdr:rowOff>
    </xdr:from>
    <xdr:ext cx="123825" cy="940252"/>
    <xdr:sp macro="" textlink="">
      <xdr:nvSpPr>
        <xdr:cNvPr id="2024" name="Text Box 198">
          <a:extLst>
            <a:ext uri="{FF2B5EF4-FFF2-40B4-BE49-F238E27FC236}">
              <a16:creationId xmlns:a16="http://schemas.microsoft.com/office/drawing/2014/main" id="{00000000-0008-0000-0F00-0000E8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2</xdr:row>
      <xdr:rowOff>0</xdr:rowOff>
    </xdr:from>
    <xdr:ext cx="123825" cy="940252"/>
    <xdr:sp macro="" textlink="">
      <xdr:nvSpPr>
        <xdr:cNvPr id="2025" name="Text Box 199">
          <a:extLst>
            <a:ext uri="{FF2B5EF4-FFF2-40B4-BE49-F238E27FC236}">
              <a16:creationId xmlns:a16="http://schemas.microsoft.com/office/drawing/2014/main" id="{00000000-0008-0000-0F00-0000E9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2</xdr:row>
      <xdr:rowOff>0</xdr:rowOff>
    </xdr:from>
    <xdr:ext cx="123825" cy="940252"/>
    <xdr:sp macro="" textlink="">
      <xdr:nvSpPr>
        <xdr:cNvPr id="2026" name="Text Box 200">
          <a:extLst>
            <a:ext uri="{FF2B5EF4-FFF2-40B4-BE49-F238E27FC236}">
              <a16:creationId xmlns:a16="http://schemas.microsoft.com/office/drawing/2014/main" id="{00000000-0008-0000-0F00-0000EA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2</xdr:row>
      <xdr:rowOff>0</xdr:rowOff>
    </xdr:from>
    <xdr:ext cx="123825" cy="940252"/>
    <xdr:sp macro="" textlink="">
      <xdr:nvSpPr>
        <xdr:cNvPr id="2027" name="Text Box 201">
          <a:extLst>
            <a:ext uri="{FF2B5EF4-FFF2-40B4-BE49-F238E27FC236}">
              <a16:creationId xmlns:a16="http://schemas.microsoft.com/office/drawing/2014/main" id="{00000000-0008-0000-0F00-0000EB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2</xdr:row>
      <xdr:rowOff>0</xdr:rowOff>
    </xdr:from>
    <xdr:ext cx="123825" cy="940252"/>
    <xdr:sp macro="" textlink="">
      <xdr:nvSpPr>
        <xdr:cNvPr id="2028" name="Text Box 202">
          <a:extLst>
            <a:ext uri="{FF2B5EF4-FFF2-40B4-BE49-F238E27FC236}">
              <a16:creationId xmlns:a16="http://schemas.microsoft.com/office/drawing/2014/main" id="{00000000-0008-0000-0F00-0000EC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2</xdr:row>
      <xdr:rowOff>0</xdr:rowOff>
    </xdr:from>
    <xdr:ext cx="123825" cy="940252"/>
    <xdr:sp macro="" textlink="">
      <xdr:nvSpPr>
        <xdr:cNvPr id="2029" name="Text Box 203">
          <a:extLst>
            <a:ext uri="{FF2B5EF4-FFF2-40B4-BE49-F238E27FC236}">
              <a16:creationId xmlns:a16="http://schemas.microsoft.com/office/drawing/2014/main" id="{00000000-0008-0000-0F00-0000ED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2</xdr:row>
      <xdr:rowOff>0</xdr:rowOff>
    </xdr:from>
    <xdr:ext cx="123825" cy="940252"/>
    <xdr:sp macro="" textlink="">
      <xdr:nvSpPr>
        <xdr:cNvPr id="2030" name="Text Box 204">
          <a:extLst>
            <a:ext uri="{FF2B5EF4-FFF2-40B4-BE49-F238E27FC236}">
              <a16:creationId xmlns:a16="http://schemas.microsoft.com/office/drawing/2014/main" id="{00000000-0008-0000-0F00-0000EE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2</xdr:row>
      <xdr:rowOff>0</xdr:rowOff>
    </xdr:from>
    <xdr:ext cx="114300" cy="1054552"/>
    <xdr:sp macro="" textlink="">
      <xdr:nvSpPr>
        <xdr:cNvPr id="2031" name="Text Box 205">
          <a:extLst>
            <a:ext uri="{FF2B5EF4-FFF2-40B4-BE49-F238E27FC236}">
              <a16:creationId xmlns:a16="http://schemas.microsoft.com/office/drawing/2014/main" id="{00000000-0008-0000-0F00-0000EF070000}"/>
            </a:ext>
          </a:extLst>
        </xdr:cNvPr>
        <xdr:cNvSpPr txBox="1">
          <a:spLocks noChangeArrowheads="1"/>
        </xdr:cNvSpPr>
      </xdr:nvSpPr>
      <xdr:spPr bwMode="auto">
        <a:xfrm>
          <a:off x="4286250" y="4921250"/>
          <a:ext cx="114300" cy="1054552"/>
        </a:xfrm>
        <a:prstGeom prst="rect">
          <a:avLst/>
        </a:prstGeom>
        <a:noFill/>
        <a:ln w="9525">
          <a:noFill/>
          <a:miter lim="800000"/>
          <a:headEnd/>
          <a:tailEnd/>
        </a:ln>
      </xdr:spPr>
    </xdr:sp>
    <xdr:clientData/>
  </xdr:oneCellAnchor>
  <xdr:oneCellAnchor>
    <xdr:from>
      <xdr:col>7</xdr:col>
      <xdr:colOff>0</xdr:colOff>
      <xdr:row>2</xdr:row>
      <xdr:rowOff>0</xdr:rowOff>
    </xdr:from>
    <xdr:ext cx="114300" cy="1054552"/>
    <xdr:sp macro="" textlink="">
      <xdr:nvSpPr>
        <xdr:cNvPr id="2032" name="Text Box 206">
          <a:extLst>
            <a:ext uri="{FF2B5EF4-FFF2-40B4-BE49-F238E27FC236}">
              <a16:creationId xmlns:a16="http://schemas.microsoft.com/office/drawing/2014/main" id="{00000000-0008-0000-0F00-0000F0070000}"/>
            </a:ext>
          </a:extLst>
        </xdr:cNvPr>
        <xdr:cNvSpPr txBox="1">
          <a:spLocks noChangeArrowheads="1"/>
        </xdr:cNvSpPr>
      </xdr:nvSpPr>
      <xdr:spPr bwMode="auto">
        <a:xfrm>
          <a:off x="4286250" y="4921250"/>
          <a:ext cx="114300" cy="1054552"/>
        </a:xfrm>
        <a:prstGeom prst="rect">
          <a:avLst/>
        </a:prstGeom>
        <a:noFill/>
        <a:ln w="9525">
          <a:noFill/>
          <a:miter lim="800000"/>
          <a:headEnd/>
          <a:tailEnd/>
        </a:ln>
      </xdr:spPr>
    </xdr:sp>
    <xdr:clientData/>
  </xdr:oneCellAnchor>
  <xdr:oneCellAnchor>
    <xdr:from>
      <xdr:col>7</xdr:col>
      <xdr:colOff>0</xdr:colOff>
      <xdr:row>2</xdr:row>
      <xdr:rowOff>0</xdr:rowOff>
    </xdr:from>
    <xdr:ext cx="123825" cy="1054552"/>
    <xdr:sp macro="" textlink="">
      <xdr:nvSpPr>
        <xdr:cNvPr id="2033" name="Text Box 207">
          <a:extLst>
            <a:ext uri="{FF2B5EF4-FFF2-40B4-BE49-F238E27FC236}">
              <a16:creationId xmlns:a16="http://schemas.microsoft.com/office/drawing/2014/main" id="{00000000-0008-0000-0F00-0000F107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2</xdr:row>
      <xdr:rowOff>0</xdr:rowOff>
    </xdr:from>
    <xdr:ext cx="123825" cy="1054552"/>
    <xdr:sp macro="" textlink="">
      <xdr:nvSpPr>
        <xdr:cNvPr id="2034" name="Text Box 208">
          <a:extLst>
            <a:ext uri="{FF2B5EF4-FFF2-40B4-BE49-F238E27FC236}">
              <a16:creationId xmlns:a16="http://schemas.microsoft.com/office/drawing/2014/main" id="{00000000-0008-0000-0F00-0000F207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2</xdr:row>
      <xdr:rowOff>0</xdr:rowOff>
    </xdr:from>
    <xdr:ext cx="123825" cy="1054552"/>
    <xdr:sp macro="" textlink="">
      <xdr:nvSpPr>
        <xdr:cNvPr id="2035" name="Text Box 209">
          <a:extLst>
            <a:ext uri="{FF2B5EF4-FFF2-40B4-BE49-F238E27FC236}">
              <a16:creationId xmlns:a16="http://schemas.microsoft.com/office/drawing/2014/main" id="{00000000-0008-0000-0F00-0000F307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2</xdr:row>
      <xdr:rowOff>0</xdr:rowOff>
    </xdr:from>
    <xdr:ext cx="123825" cy="1054552"/>
    <xdr:sp macro="" textlink="">
      <xdr:nvSpPr>
        <xdr:cNvPr id="2036" name="Text Box 210">
          <a:extLst>
            <a:ext uri="{FF2B5EF4-FFF2-40B4-BE49-F238E27FC236}">
              <a16:creationId xmlns:a16="http://schemas.microsoft.com/office/drawing/2014/main" id="{00000000-0008-0000-0F00-0000F407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2</xdr:row>
      <xdr:rowOff>0</xdr:rowOff>
    </xdr:from>
    <xdr:ext cx="123825" cy="940252"/>
    <xdr:sp macro="" textlink="">
      <xdr:nvSpPr>
        <xdr:cNvPr id="2037" name="Text Box 211">
          <a:extLst>
            <a:ext uri="{FF2B5EF4-FFF2-40B4-BE49-F238E27FC236}">
              <a16:creationId xmlns:a16="http://schemas.microsoft.com/office/drawing/2014/main" id="{00000000-0008-0000-0F00-0000F5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2</xdr:row>
      <xdr:rowOff>0</xdr:rowOff>
    </xdr:from>
    <xdr:ext cx="123825" cy="940252"/>
    <xdr:sp macro="" textlink="">
      <xdr:nvSpPr>
        <xdr:cNvPr id="2038" name="Text Box 212">
          <a:extLst>
            <a:ext uri="{FF2B5EF4-FFF2-40B4-BE49-F238E27FC236}">
              <a16:creationId xmlns:a16="http://schemas.microsoft.com/office/drawing/2014/main" id="{00000000-0008-0000-0F00-0000F6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2</xdr:row>
      <xdr:rowOff>0</xdr:rowOff>
    </xdr:from>
    <xdr:ext cx="123825" cy="940252"/>
    <xdr:sp macro="" textlink="">
      <xdr:nvSpPr>
        <xdr:cNvPr id="2039" name="Text Box 213">
          <a:extLst>
            <a:ext uri="{FF2B5EF4-FFF2-40B4-BE49-F238E27FC236}">
              <a16:creationId xmlns:a16="http://schemas.microsoft.com/office/drawing/2014/main" id="{00000000-0008-0000-0F00-0000F7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2</xdr:row>
      <xdr:rowOff>0</xdr:rowOff>
    </xdr:from>
    <xdr:ext cx="123825" cy="940252"/>
    <xdr:sp macro="" textlink="">
      <xdr:nvSpPr>
        <xdr:cNvPr id="2040" name="Text Box 214">
          <a:extLst>
            <a:ext uri="{FF2B5EF4-FFF2-40B4-BE49-F238E27FC236}">
              <a16:creationId xmlns:a16="http://schemas.microsoft.com/office/drawing/2014/main" id="{00000000-0008-0000-0F00-0000F807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41" name="Text Box 197">
          <a:extLst>
            <a:ext uri="{FF2B5EF4-FFF2-40B4-BE49-F238E27FC236}">
              <a16:creationId xmlns:a16="http://schemas.microsoft.com/office/drawing/2014/main" id="{00000000-0008-0000-0F00-0000F9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42" name="Text Box 198">
          <a:extLst>
            <a:ext uri="{FF2B5EF4-FFF2-40B4-BE49-F238E27FC236}">
              <a16:creationId xmlns:a16="http://schemas.microsoft.com/office/drawing/2014/main" id="{00000000-0008-0000-0F00-0000FA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43" name="Text Box 199">
          <a:extLst>
            <a:ext uri="{FF2B5EF4-FFF2-40B4-BE49-F238E27FC236}">
              <a16:creationId xmlns:a16="http://schemas.microsoft.com/office/drawing/2014/main" id="{00000000-0008-0000-0F00-0000FB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44" name="Text Box 200">
          <a:extLst>
            <a:ext uri="{FF2B5EF4-FFF2-40B4-BE49-F238E27FC236}">
              <a16:creationId xmlns:a16="http://schemas.microsoft.com/office/drawing/2014/main" id="{00000000-0008-0000-0F00-0000FC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45" name="Text Box 201">
          <a:extLst>
            <a:ext uri="{FF2B5EF4-FFF2-40B4-BE49-F238E27FC236}">
              <a16:creationId xmlns:a16="http://schemas.microsoft.com/office/drawing/2014/main" id="{00000000-0008-0000-0F00-0000FD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46" name="Text Box 202">
          <a:extLst>
            <a:ext uri="{FF2B5EF4-FFF2-40B4-BE49-F238E27FC236}">
              <a16:creationId xmlns:a16="http://schemas.microsoft.com/office/drawing/2014/main" id="{00000000-0008-0000-0F00-0000FE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47" name="Text Box 203">
          <a:extLst>
            <a:ext uri="{FF2B5EF4-FFF2-40B4-BE49-F238E27FC236}">
              <a16:creationId xmlns:a16="http://schemas.microsoft.com/office/drawing/2014/main" id="{00000000-0008-0000-0F00-0000FF07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48" name="Text Box 204">
          <a:extLst>
            <a:ext uri="{FF2B5EF4-FFF2-40B4-BE49-F238E27FC236}">
              <a16:creationId xmlns:a16="http://schemas.microsoft.com/office/drawing/2014/main" id="{00000000-0008-0000-0F00-000000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14300" cy="945696"/>
    <xdr:sp macro="" textlink="">
      <xdr:nvSpPr>
        <xdr:cNvPr id="2049" name="Text Box 205">
          <a:extLst>
            <a:ext uri="{FF2B5EF4-FFF2-40B4-BE49-F238E27FC236}">
              <a16:creationId xmlns:a16="http://schemas.microsoft.com/office/drawing/2014/main" id="{00000000-0008-0000-0F00-00000108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3</xdr:row>
      <xdr:rowOff>0</xdr:rowOff>
    </xdr:from>
    <xdr:ext cx="114300" cy="945696"/>
    <xdr:sp macro="" textlink="">
      <xdr:nvSpPr>
        <xdr:cNvPr id="2050" name="Text Box 206">
          <a:extLst>
            <a:ext uri="{FF2B5EF4-FFF2-40B4-BE49-F238E27FC236}">
              <a16:creationId xmlns:a16="http://schemas.microsoft.com/office/drawing/2014/main" id="{00000000-0008-0000-0F00-00000208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3</xdr:row>
      <xdr:rowOff>0</xdr:rowOff>
    </xdr:from>
    <xdr:ext cx="123825" cy="945696"/>
    <xdr:sp macro="" textlink="">
      <xdr:nvSpPr>
        <xdr:cNvPr id="2051" name="Text Box 207">
          <a:extLst>
            <a:ext uri="{FF2B5EF4-FFF2-40B4-BE49-F238E27FC236}">
              <a16:creationId xmlns:a16="http://schemas.microsoft.com/office/drawing/2014/main" id="{00000000-0008-0000-0F00-000003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3</xdr:row>
      <xdr:rowOff>0</xdr:rowOff>
    </xdr:from>
    <xdr:ext cx="123825" cy="945696"/>
    <xdr:sp macro="" textlink="">
      <xdr:nvSpPr>
        <xdr:cNvPr id="2052" name="Text Box 208">
          <a:extLst>
            <a:ext uri="{FF2B5EF4-FFF2-40B4-BE49-F238E27FC236}">
              <a16:creationId xmlns:a16="http://schemas.microsoft.com/office/drawing/2014/main" id="{00000000-0008-0000-0F00-000004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3</xdr:row>
      <xdr:rowOff>0</xdr:rowOff>
    </xdr:from>
    <xdr:ext cx="123825" cy="945696"/>
    <xdr:sp macro="" textlink="">
      <xdr:nvSpPr>
        <xdr:cNvPr id="2053" name="Text Box 209">
          <a:extLst>
            <a:ext uri="{FF2B5EF4-FFF2-40B4-BE49-F238E27FC236}">
              <a16:creationId xmlns:a16="http://schemas.microsoft.com/office/drawing/2014/main" id="{00000000-0008-0000-0F00-000005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3</xdr:row>
      <xdr:rowOff>0</xdr:rowOff>
    </xdr:from>
    <xdr:ext cx="123825" cy="945696"/>
    <xdr:sp macro="" textlink="">
      <xdr:nvSpPr>
        <xdr:cNvPr id="2054" name="Text Box 210">
          <a:extLst>
            <a:ext uri="{FF2B5EF4-FFF2-40B4-BE49-F238E27FC236}">
              <a16:creationId xmlns:a16="http://schemas.microsoft.com/office/drawing/2014/main" id="{00000000-0008-0000-0F00-000006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55" name="Text Box 211">
          <a:extLst>
            <a:ext uri="{FF2B5EF4-FFF2-40B4-BE49-F238E27FC236}">
              <a16:creationId xmlns:a16="http://schemas.microsoft.com/office/drawing/2014/main" id="{00000000-0008-0000-0F00-000007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56" name="Text Box 212">
          <a:extLst>
            <a:ext uri="{FF2B5EF4-FFF2-40B4-BE49-F238E27FC236}">
              <a16:creationId xmlns:a16="http://schemas.microsoft.com/office/drawing/2014/main" id="{00000000-0008-0000-0F00-000008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57" name="Text Box 213">
          <a:extLst>
            <a:ext uri="{FF2B5EF4-FFF2-40B4-BE49-F238E27FC236}">
              <a16:creationId xmlns:a16="http://schemas.microsoft.com/office/drawing/2014/main" id="{00000000-0008-0000-0F00-000009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58" name="Text Box 214">
          <a:extLst>
            <a:ext uri="{FF2B5EF4-FFF2-40B4-BE49-F238E27FC236}">
              <a16:creationId xmlns:a16="http://schemas.microsoft.com/office/drawing/2014/main" id="{00000000-0008-0000-0F00-00000A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2</xdr:row>
      <xdr:rowOff>0</xdr:rowOff>
    </xdr:from>
    <xdr:ext cx="123825" cy="936171"/>
    <xdr:sp macro="" textlink="">
      <xdr:nvSpPr>
        <xdr:cNvPr id="2059" name="Text Box 197">
          <a:extLst>
            <a:ext uri="{FF2B5EF4-FFF2-40B4-BE49-F238E27FC236}">
              <a16:creationId xmlns:a16="http://schemas.microsoft.com/office/drawing/2014/main" id="{00000000-0008-0000-0F00-00000B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2</xdr:row>
      <xdr:rowOff>0</xdr:rowOff>
    </xdr:from>
    <xdr:ext cx="123825" cy="936171"/>
    <xdr:sp macro="" textlink="">
      <xdr:nvSpPr>
        <xdr:cNvPr id="2060" name="Text Box 198">
          <a:extLst>
            <a:ext uri="{FF2B5EF4-FFF2-40B4-BE49-F238E27FC236}">
              <a16:creationId xmlns:a16="http://schemas.microsoft.com/office/drawing/2014/main" id="{00000000-0008-0000-0F00-00000C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2</xdr:row>
      <xdr:rowOff>0</xdr:rowOff>
    </xdr:from>
    <xdr:ext cx="123825" cy="936171"/>
    <xdr:sp macro="" textlink="">
      <xdr:nvSpPr>
        <xdr:cNvPr id="2061" name="Text Box 199">
          <a:extLst>
            <a:ext uri="{FF2B5EF4-FFF2-40B4-BE49-F238E27FC236}">
              <a16:creationId xmlns:a16="http://schemas.microsoft.com/office/drawing/2014/main" id="{00000000-0008-0000-0F00-00000D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2</xdr:row>
      <xdr:rowOff>0</xdr:rowOff>
    </xdr:from>
    <xdr:ext cx="123825" cy="936171"/>
    <xdr:sp macro="" textlink="">
      <xdr:nvSpPr>
        <xdr:cNvPr id="2062" name="Text Box 200">
          <a:extLst>
            <a:ext uri="{FF2B5EF4-FFF2-40B4-BE49-F238E27FC236}">
              <a16:creationId xmlns:a16="http://schemas.microsoft.com/office/drawing/2014/main" id="{00000000-0008-0000-0F00-00000E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2</xdr:row>
      <xdr:rowOff>0</xdr:rowOff>
    </xdr:from>
    <xdr:ext cx="123825" cy="936171"/>
    <xdr:sp macro="" textlink="">
      <xdr:nvSpPr>
        <xdr:cNvPr id="2063" name="Text Box 201">
          <a:extLst>
            <a:ext uri="{FF2B5EF4-FFF2-40B4-BE49-F238E27FC236}">
              <a16:creationId xmlns:a16="http://schemas.microsoft.com/office/drawing/2014/main" id="{00000000-0008-0000-0F00-00000F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2</xdr:row>
      <xdr:rowOff>0</xdr:rowOff>
    </xdr:from>
    <xdr:ext cx="123825" cy="936171"/>
    <xdr:sp macro="" textlink="">
      <xdr:nvSpPr>
        <xdr:cNvPr id="2064" name="Text Box 202">
          <a:extLst>
            <a:ext uri="{FF2B5EF4-FFF2-40B4-BE49-F238E27FC236}">
              <a16:creationId xmlns:a16="http://schemas.microsoft.com/office/drawing/2014/main" id="{00000000-0008-0000-0F00-000010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2</xdr:row>
      <xdr:rowOff>0</xdr:rowOff>
    </xdr:from>
    <xdr:ext cx="123825" cy="936171"/>
    <xdr:sp macro="" textlink="">
      <xdr:nvSpPr>
        <xdr:cNvPr id="2065" name="Text Box 203">
          <a:extLst>
            <a:ext uri="{FF2B5EF4-FFF2-40B4-BE49-F238E27FC236}">
              <a16:creationId xmlns:a16="http://schemas.microsoft.com/office/drawing/2014/main" id="{00000000-0008-0000-0F00-000011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2</xdr:row>
      <xdr:rowOff>0</xdr:rowOff>
    </xdr:from>
    <xdr:ext cx="123825" cy="936171"/>
    <xdr:sp macro="" textlink="">
      <xdr:nvSpPr>
        <xdr:cNvPr id="2066" name="Text Box 204">
          <a:extLst>
            <a:ext uri="{FF2B5EF4-FFF2-40B4-BE49-F238E27FC236}">
              <a16:creationId xmlns:a16="http://schemas.microsoft.com/office/drawing/2014/main" id="{00000000-0008-0000-0F00-000012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2</xdr:row>
      <xdr:rowOff>0</xdr:rowOff>
    </xdr:from>
    <xdr:ext cx="114300" cy="1050471"/>
    <xdr:sp macro="" textlink="">
      <xdr:nvSpPr>
        <xdr:cNvPr id="2067" name="Text Box 205">
          <a:extLst>
            <a:ext uri="{FF2B5EF4-FFF2-40B4-BE49-F238E27FC236}">
              <a16:creationId xmlns:a16="http://schemas.microsoft.com/office/drawing/2014/main" id="{00000000-0008-0000-0F00-000013080000}"/>
            </a:ext>
          </a:extLst>
        </xdr:cNvPr>
        <xdr:cNvSpPr txBox="1">
          <a:spLocks noChangeArrowheads="1"/>
        </xdr:cNvSpPr>
      </xdr:nvSpPr>
      <xdr:spPr bwMode="auto">
        <a:xfrm>
          <a:off x="4286250" y="4921250"/>
          <a:ext cx="114300" cy="1050471"/>
        </a:xfrm>
        <a:prstGeom prst="rect">
          <a:avLst/>
        </a:prstGeom>
        <a:noFill/>
        <a:ln w="9525">
          <a:noFill/>
          <a:miter lim="800000"/>
          <a:headEnd/>
          <a:tailEnd/>
        </a:ln>
      </xdr:spPr>
    </xdr:sp>
    <xdr:clientData/>
  </xdr:oneCellAnchor>
  <xdr:oneCellAnchor>
    <xdr:from>
      <xdr:col>7</xdr:col>
      <xdr:colOff>0</xdr:colOff>
      <xdr:row>2</xdr:row>
      <xdr:rowOff>0</xdr:rowOff>
    </xdr:from>
    <xdr:ext cx="114300" cy="1050471"/>
    <xdr:sp macro="" textlink="">
      <xdr:nvSpPr>
        <xdr:cNvPr id="2068" name="Text Box 206">
          <a:extLst>
            <a:ext uri="{FF2B5EF4-FFF2-40B4-BE49-F238E27FC236}">
              <a16:creationId xmlns:a16="http://schemas.microsoft.com/office/drawing/2014/main" id="{00000000-0008-0000-0F00-000014080000}"/>
            </a:ext>
          </a:extLst>
        </xdr:cNvPr>
        <xdr:cNvSpPr txBox="1">
          <a:spLocks noChangeArrowheads="1"/>
        </xdr:cNvSpPr>
      </xdr:nvSpPr>
      <xdr:spPr bwMode="auto">
        <a:xfrm>
          <a:off x="4286250" y="4921250"/>
          <a:ext cx="114300" cy="1050471"/>
        </a:xfrm>
        <a:prstGeom prst="rect">
          <a:avLst/>
        </a:prstGeom>
        <a:noFill/>
        <a:ln w="9525">
          <a:noFill/>
          <a:miter lim="800000"/>
          <a:headEnd/>
          <a:tailEnd/>
        </a:ln>
      </xdr:spPr>
    </xdr:sp>
    <xdr:clientData/>
  </xdr:oneCellAnchor>
  <xdr:oneCellAnchor>
    <xdr:from>
      <xdr:col>7</xdr:col>
      <xdr:colOff>0</xdr:colOff>
      <xdr:row>2</xdr:row>
      <xdr:rowOff>0</xdr:rowOff>
    </xdr:from>
    <xdr:ext cx="123825" cy="1050471"/>
    <xdr:sp macro="" textlink="">
      <xdr:nvSpPr>
        <xdr:cNvPr id="2069" name="Text Box 207">
          <a:extLst>
            <a:ext uri="{FF2B5EF4-FFF2-40B4-BE49-F238E27FC236}">
              <a16:creationId xmlns:a16="http://schemas.microsoft.com/office/drawing/2014/main" id="{00000000-0008-0000-0F00-00001508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2</xdr:row>
      <xdr:rowOff>0</xdr:rowOff>
    </xdr:from>
    <xdr:ext cx="123825" cy="1050471"/>
    <xdr:sp macro="" textlink="">
      <xdr:nvSpPr>
        <xdr:cNvPr id="2070" name="Text Box 208">
          <a:extLst>
            <a:ext uri="{FF2B5EF4-FFF2-40B4-BE49-F238E27FC236}">
              <a16:creationId xmlns:a16="http://schemas.microsoft.com/office/drawing/2014/main" id="{00000000-0008-0000-0F00-00001608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2</xdr:row>
      <xdr:rowOff>0</xdr:rowOff>
    </xdr:from>
    <xdr:ext cx="123825" cy="1050471"/>
    <xdr:sp macro="" textlink="">
      <xdr:nvSpPr>
        <xdr:cNvPr id="2071" name="Text Box 209">
          <a:extLst>
            <a:ext uri="{FF2B5EF4-FFF2-40B4-BE49-F238E27FC236}">
              <a16:creationId xmlns:a16="http://schemas.microsoft.com/office/drawing/2014/main" id="{00000000-0008-0000-0F00-00001708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2</xdr:row>
      <xdr:rowOff>0</xdr:rowOff>
    </xdr:from>
    <xdr:ext cx="123825" cy="1050471"/>
    <xdr:sp macro="" textlink="">
      <xdr:nvSpPr>
        <xdr:cNvPr id="2072" name="Text Box 210">
          <a:extLst>
            <a:ext uri="{FF2B5EF4-FFF2-40B4-BE49-F238E27FC236}">
              <a16:creationId xmlns:a16="http://schemas.microsoft.com/office/drawing/2014/main" id="{00000000-0008-0000-0F00-00001808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2</xdr:row>
      <xdr:rowOff>0</xdr:rowOff>
    </xdr:from>
    <xdr:ext cx="123825" cy="936171"/>
    <xdr:sp macro="" textlink="">
      <xdr:nvSpPr>
        <xdr:cNvPr id="2073" name="Text Box 211">
          <a:extLst>
            <a:ext uri="{FF2B5EF4-FFF2-40B4-BE49-F238E27FC236}">
              <a16:creationId xmlns:a16="http://schemas.microsoft.com/office/drawing/2014/main" id="{00000000-0008-0000-0F00-000019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2</xdr:row>
      <xdr:rowOff>0</xdr:rowOff>
    </xdr:from>
    <xdr:ext cx="123825" cy="936171"/>
    <xdr:sp macro="" textlink="">
      <xdr:nvSpPr>
        <xdr:cNvPr id="2074" name="Text Box 212">
          <a:extLst>
            <a:ext uri="{FF2B5EF4-FFF2-40B4-BE49-F238E27FC236}">
              <a16:creationId xmlns:a16="http://schemas.microsoft.com/office/drawing/2014/main" id="{00000000-0008-0000-0F00-00001A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2</xdr:row>
      <xdr:rowOff>0</xdr:rowOff>
    </xdr:from>
    <xdr:ext cx="123825" cy="936171"/>
    <xdr:sp macro="" textlink="">
      <xdr:nvSpPr>
        <xdr:cNvPr id="2075" name="Text Box 213">
          <a:extLst>
            <a:ext uri="{FF2B5EF4-FFF2-40B4-BE49-F238E27FC236}">
              <a16:creationId xmlns:a16="http://schemas.microsoft.com/office/drawing/2014/main" id="{00000000-0008-0000-0F00-00001B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2</xdr:row>
      <xdr:rowOff>0</xdr:rowOff>
    </xdr:from>
    <xdr:ext cx="123825" cy="936171"/>
    <xdr:sp macro="" textlink="">
      <xdr:nvSpPr>
        <xdr:cNvPr id="2076" name="Text Box 214">
          <a:extLst>
            <a:ext uri="{FF2B5EF4-FFF2-40B4-BE49-F238E27FC236}">
              <a16:creationId xmlns:a16="http://schemas.microsoft.com/office/drawing/2014/main" id="{00000000-0008-0000-0F00-00001C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77" name="Text Box 197">
          <a:extLst>
            <a:ext uri="{FF2B5EF4-FFF2-40B4-BE49-F238E27FC236}">
              <a16:creationId xmlns:a16="http://schemas.microsoft.com/office/drawing/2014/main" id="{00000000-0008-0000-0F00-00001D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78" name="Text Box 198">
          <a:extLst>
            <a:ext uri="{FF2B5EF4-FFF2-40B4-BE49-F238E27FC236}">
              <a16:creationId xmlns:a16="http://schemas.microsoft.com/office/drawing/2014/main" id="{00000000-0008-0000-0F00-00001E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79" name="Text Box 199">
          <a:extLst>
            <a:ext uri="{FF2B5EF4-FFF2-40B4-BE49-F238E27FC236}">
              <a16:creationId xmlns:a16="http://schemas.microsoft.com/office/drawing/2014/main" id="{00000000-0008-0000-0F00-00001F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80" name="Text Box 200">
          <a:extLst>
            <a:ext uri="{FF2B5EF4-FFF2-40B4-BE49-F238E27FC236}">
              <a16:creationId xmlns:a16="http://schemas.microsoft.com/office/drawing/2014/main" id="{00000000-0008-0000-0F00-000020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81" name="Text Box 201">
          <a:extLst>
            <a:ext uri="{FF2B5EF4-FFF2-40B4-BE49-F238E27FC236}">
              <a16:creationId xmlns:a16="http://schemas.microsoft.com/office/drawing/2014/main" id="{00000000-0008-0000-0F00-000021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82" name="Text Box 202">
          <a:extLst>
            <a:ext uri="{FF2B5EF4-FFF2-40B4-BE49-F238E27FC236}">
              <a16:creationId xmlns:a16="http://schemas.microsoft.com/office/drawing/2014/main" id="{00000000-0008-0000-0F00-000022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83" name="Text Box 203">
          <a:extLst>
            <a:ext uri="{FF2B5EF4-FFF2-40B4-BE49-F238E27FC236}">
              <a16:creationId xmlns:a16="http://schemas.microsoft.com/office/drawing/2014/main" id="{00000000-0008-0000-0F00-000023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84" name="Text Box 204">
          <a:extLst>
            <a:ext uri="{FF2B5EF4-FFF2-40B4-BE49-F238E27FC236}">
              <a16:creationId xmlns:a16="http://schemas.microsoft.com/office/drawing/2014/main" id="{00000000-0008-0000-0F00-000024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14300" cy="945696"/>
    <xdr:sp macro="" textlink="">
      <xdr:nvSpPr>
        <xdr:cNvPr id="2085" name="Text Box 205">
          <a:extLst>
            <a:ext uri="{FF2B5EF4-FFF2-40B4-BE49-F238E27FC236}">
              <a16:creationId xmlns:a16="http://schemas.microsoft.com/office/drawing/2014/main" id="{00000000-0008-0000-0F00-00002508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3</xdr:row>
      <xdr:rowOff>0</xdr:rowOff>
    </xdr:from>
    <xdr:ext cx="114300" cy="945696"/>
    <xdr:sp macro="" textlink="">
      <xdr:nvSpPr>
        <xdr:cNvPr id="2086" name="Text Box 206">
          <a:extLst>
            <a:ext uri="{FF2B5EF4-FFF2-40B4-BE49-F238E27FC236}">
              <a16:creationId xmlns:a16="http://schemas.microsoft.com/office/drawing/2014/main" id="{00000000-0008-0000-0F00-00002608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3</xdr:row>
      <xdr:rowOff>0</xdr:rowOff>
    </xdr:from>
    <xdr:ext cx="123825" cy="945696"/>
    <xdr:sp macro="" textlink="">
      <xdr:nvSpPr>
        <xdr:cNvPr id="2087" name="Text Box 207">
          <a:extLst>
            <a:ext uri="{FF2B5EF4-FFF2-40B4-BE49-F238E27FC236}">
              <a16:creationId xmlns:a16="http://schemas.microsoft.com/office/drawing/2014/main" id="{00000000-0008-0000-0F00-000027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3</xdr:row>
      <xdr:rowOff>0</xdr:rowOff>
    </xdr:from>
    <xdr:ext cx="123825" cy="945696"/>
    <xdr:sp macro="" textlink="">
      <xdr:nvSpPr>
        <xdr:cNvPr id="2088" name="Text Box 208">
          <a:extLst>
            <a:ext uri="{FF2B5EF4-FFF2-40B4-BE49-F238E27FC236}">
              <a16:creationId xmlns:a16="http://schemas.microsoft.com/office/drawing/2014/main" id="{00000000-0008-0000-0F00-000028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3</xdr:row>
      <xdr:rowOff>0</xdr:rowOff>
    </xdr:from>
    <xdr:ext cx="123825" cy="945696"/>
    <xdr:sp macro="" textlink="">
      <xdr:nvSpPr>
        <xdr:cNvPr id="2089" name="Text Box 209">
          <a:extLst>
            <a:ext uri="{FF2B5EF4-FFF2-40B4-BE49-F238E27FC236}">
              <a16:creationId xmlns:a16="http://schemas.microsoft.com/office/drawing/2014/main" id="{00000000-0008-0000-0F00-000029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3</xdr:row>
      <xdr:rowOff>0</xdr:rowOff>
    </xdr:from>
    <xdr:ext cx="123825" cy="945696"/>
    <xdr:sp macro="" textlink="">
      <xdr:nvSpPr>
        <xdr:cNvPr id="2090" name="Text Box 210">
          <a:extLst>
            <a:ext uri="{FF2B5EF4-FFF2-40B4-BE49-F238E27FC236}">
              <a16:creationId xmlns:a16="http://schemas.microsoft.com/office/drawing/2014/main" id="{00000000-0008-0000-0F00-00002A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91" name="Text Box 211">
          <a:extLst>
            <a:ext uri="{FF2B5EF4-FFF2-40B4-BE49-F238E27FC236}">
              <a16:creationId xmlns:a16="http://schemas.microsoft.com/office/drawing/2014/main" id="{00000000-0008-0000-0F00-00002B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92" name="Text Box 212">
          <a:extLst>
            <a:ext uri="{FF2B5EF4-FFF2-40B4-BE49-F238E27FC236}">
              <a16:creationId xmlns:a16="http://schemas.microsoft.com/office/drawing/2014/main" id="{00000000-0008-0000-0F00-00002C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93" name="Text Box 213">
          <a:extLst>
            <a:ext uri="{FF2B5EF4-FFF2-40B4-BE49-F238E27FC236}">
              <a16:creationId xmlns:a16="http://schemas.microsoft.com/office/drawing/2014/main" id="{00000000-0008-0000-0F00-00002D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831396"/>
    <xdr:sp macro="" textlink="">
      <xdr:nvSpPr>
        <xdr:cNvPr id="2094" name="Text Box 214">
          <a:extLst>
            <a:ext uri="{FF2B5EF4-FFF2-40B4-BE49-F238E27FC236}">
              <a16:creationId xmlns:a16="http://schemas.microsoft.com/office/drawing/2014/main" id="{00000000-0008-0000-0F00-00002E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095" name="Text Box 197">
          <a:extLst>
            <a:ext uri="{FF2B5EF4-FFF2-40B4-BE49-F238E27FC236}">
              <a16:creationId xmlns:a16="http://schemas.microsoft.com/office/drawing/2014/main" id="{00000000-0008-0000-0F00-00002F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096" name="Text Box 198">
          <a:extLst>
            <a:ext uri="{FF2B5EF4-FFF2-40B4-BE49-F238E27FC236}">
              <a16:creationId xmlns:a16="http://schemas.microsoft.com/office/drawing/2014/main" id="{00000000-0008-0000-0F00-000030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097" name="Text Box 199">
          <a:extLst>
            <a:ext uri="{FF2B5EF4-FFF2-40B4-BE49-F238E27FC236}">
              <a16:creationId xmlns:a16="http://schemas.microsoft.com/office/drawing/2014/main" id="{00000000-0008-0000-0F00-000031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098" name="Text Box 200">
          <a:extLst>
            <a:ext uri="{FF2B5EF4-FFF2-40B4-BE49-F238E27FC236}">
              <a16:creationId xmlns:a16="http://schemas.microsoft.com/office/drawing/2014/main" id="{00000000-0008-0000-0F00-000032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099" name="Text Box 201">
          <a:extLst>
            <a:ext uri="{FF2B5EF4-FFF2-40B4-BE49-F238E27FC236}">
              <a16:creationId xmlns:a16="http://schemas.microsoft.com/office/drawing/2014/main" id="{00000000-0008-0000-0F00-000033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00" name="Text Box 202">
          <a:extLst>
            <a:ext uri="{FF2B5EF4-FFF2-40B4-BE49-F238E27FC236}">
              <a16:creationId xmlns:a16="http://schemas.microsoft.com/office/drawing/2014/main" id="{00000000-0008-0000-0F00-000034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01" name="Text Box 203">
          <a:extLst>
            <a:ext uri="{FF2B5EF4-FFF2-40B4-BE49-F238E27FC236}">
              <a16:creationId xmlns:a16="http://schemas.microsoft.com/office/drawing/2014/main" id="{00000000-0008-0000-0F00-000035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02" name="Text Box 204">
          <a:extLst>
            <a:ext uri="{FF2B5EF4-FFF2-40B4-BE49-F238E27FC236}">
              <a16:creationId xmlns:a16="http://schemas.microsoft.com/office/drawing/2014/main" id="{00000000-0008-0000-0F00-000036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14300" cy="945696"/>
    <xdr:sp macro="" textlink="">
      <xdr:nvSpPr>
        <xdr:cNvPr id="2103" name="Text Box 205">
          <a:extLst>
            <a:ext uri="{FF2B5EF4-FFF2-40B4-BE49-F238E27FC236}">
              <a16:creationId xmlns:a16="http://schemas.microsoft.com/office/drawing/2014/main" id="{00000000-0008-0000-0F00-00003708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3</xdr:row>
      <xdr:rowOff>0</xdr:rowOff>
    </xdr:from>
    <xdr:ext cx="114300" cy="945696"/>
    <xdr:sp macro="" textlink="">
      <xdr:nvSpPr>
        <xdr:cNvPr id="2104" name="Text Box 206">
          <a:extLst>
            <a:ext uri="{FF2B5EF4-FFF2-40B4-BE49-F238E27FC236}">
              <a16:creationId xmlns:a16="http://schemas.microsoft.com/office/drawing/2014/main" id="{00000000-0008-0000-0F00-00003808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3</xdr:row>
      <xdr:rowOff>0</xdr:rowOff>
    </xdr:from>
    <xdr:ext cx="123825" cy="945696"/>
    <xdr:sp macro="" textlink="">
      <xdr:nvSpPr>
        <xdr:cNvPr id="2105" name="Text Box 207">
          <a:extLst>
            <a:ext uri="{FF2B5EF4-FFF2-40B4-BE49-F238E27FC236}">
              <a16:creationId xmlns:a16="http://schemas.microsoft.com/office/drawing/2014/main" id="{00000000-0008-0000-0F00-000039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3</xdr:row>
      <xdr:rowOff>0</xdr:rowOff>
    </xdr:from>
    <xdr:ext cx="123825" cy="945696"/>
    <xdr:sp macro="" textlink="">
      <xdr:nvSpPr>
        <xdr:cNvPr id="2106" name="Text Box 208">
          <a:extLst>
            <a:ext uri="{FF2B5EF4-FFF2-40B4-BE49-F238E27FC236}">
              <a16:creationId xmlns:a16="http://schemas.microsoft.com/office/drawing/2014/main" id="{00000000-0008-0000-0F00-00003A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3</xdr:row>
      <xdr:rowOff>0</xdr:rowOff>
    </xdr:from>
    <xdr:ext cx="123825" cy="945696"/>
    <xdr:sp macro="" textlink="">
      <xdr:nvSpPr>
        <xdr:cNvPr id="2107" name="Text Box 209">
          <a:extLst>
            <a:ext uri="{FF2B5EF4-FFF2-40B4-BE49-F238E27FC236}">
              <a16:creationId xmlns:a16="http://schemas.microsoft.com/office/drawing/2014/main" id="{00000000-0008-0000-0F00-00003B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3</xdr:row>
      <xdr:rowOff>0</xdr:rowOff>
    </xdr:from>
    <xdr:ext cx="123825" cy="945696"/>
    <xdr:sp macro="" textlink="">
      <xdr:nvSpPr>
        <xdr:cNvPr id="2108" name="Text Box 210">
          <a:extLst>
            <a:ext uri="{FF2B5EF4-FFF2-40B4-BE49-F238E27FC236}">
              <a16:creationId xmlns:a16="http://schemas.microsoft.com/office/drawing/2014/main" id="{00000000-0008-0000-0F00-00003C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09" name="Text Box 211">
          <a:extLst>
            <a:ext uri="{FF2B5EF4-FFF2-40B4-BE49-F238E27FC236}">
              <a16:creationId xmlns:a16="http://schemas.microsoft.com/office/drawing/2014/main" id="{00000000-0008-0000-0F00-00003D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10" name="Text Box 212">
          <a:extLst>
            <a:ext uri="{FF2B5EF4-FFF2-40B4-BE49-F238E27FC236}">
              <a16:creationId xmlns:a16="http://schemas.microsoft.com/office/drawing/2014/main" id="{00000000-0008-0000-0F00-00003E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11" name="Text Box 213">
          <a:extLst>
            <a:ext uri="{FF2B5EF4-FFF2-40B4-BE49-F238E27FC236}">
              <a16:creationId xmlns:a16="http://schemas.microsoft.com/office/drawing/2014/main" id="{00000000-0008-0000-0F00-00003F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12" name="Text Box 214">
          <a:extLst>
            <a:ext uri="{FF2B5EF4-FFF2-40B4-BE49-F238E27FC236}">
              <a16:creationId xmlns:a16="http://schemas.microsoft.com/office/drawing/2014/main" id="{00000000-0008-0000-0F00-000040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13" name="Text Box 197">
          <a:extLst>
            <a:ext uri="{FF2B5EF4-FFF2-40B4-BE49-F238E27FC236}">
              <a16:creationId xmlns:a16="http://schemas.microsoft.com/office/drawing/2014/main" id="{00000000-0008-0000-0F00-000041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14" name="Text Box 198">
          <a:extLst>
            <a:ext uri="{FF2B5EF4-FFF2-40B4-BE49-F238E27FC236}">
              <a16:creationId xmlns:a16="http://schemas.microsoft.com/office/drawing/2014/main" id="{00000000-0008-0000-0F00-000042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15" name="Text Box 199">
          <a:extLst>
            <a:ext uri="{FF2B5EF4-FFF2-40B4-BE49-F238E27FC236}">
              <a16:creationId xmlns:a16="http://schemas.microsoft.com/office/drawing/2014/main" id="{00000000-0008-0000-0F00-000043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16" name="Text Box 200">
          <a:extLst>
            <a:ext uri="{FF2B5EF4-FFF2-40B4-BE49-F238E27FC236}">
              <a16:creationId xmlns:a16="http://schemas.microsoft.com/office/drawing/2014/main" id="{00000000-0008-0000-0F00-000044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17" name="Text Box 201">
          <a:extLst>
            <a:ext uri="{FF2B5EF4-FFF2-40B4-BE49-F238E27FC236}">
              <a16:creationId xmlns:a16="http://schemas.microsoft.com/office/drawing/2014/main" id="{00000000-0008-0000-0F00-000045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18" name="Text Box 202">
          <a:extLst>
            <a:ext uri="{FF2B5EF4-FFF2-40B4-BE49-F238E27FC236}">
              <a16:creationId xmlns:a16="http://schemas.microsoft.com/office/drawing/2014/main" id="{00000000-0008-0000-0F00-000046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19" name="Text Box 203">
          <a:extLst>
            <a:ext uri="{FF2B5EF4-FFF2-40B4-BE49-F238E27FC236}">
              <a16:creationId xmlns:a16="http://schemas.microsoft.com/office/drawing/2014/main" id="{00000000-0008-0000-0F00-000047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20" name="Text Box 204">
          <a:extLst>
            <a:ext uri="{FF2B5EF4-FFF2-40B4-BE49-F238E27FC236}">
              <a16:creationId xmlns:a16="http://schemas.microsoft.com/office/drawing/2014/main" id="{00000000-0008-0000-0F00-000048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14300" cy="945696"/>
    <xdr:sp macro="" textlink="">
      <xdr:nvSpPr>
        <xdr:cNvPr id="2121" name="Text Box 205">
          <a:extLst>
            <a:ext uri="{FF2B5EF4-FFF2-40B4-BE49-F238E27FC236}">
              <a16:creationId xmlns:a16="http://schemas.microsoft.com/office/drawing/2014/main" id="{00000000-0008-0000-0F00-00004908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3</xdr:row>
      <xdr:rowOff>0</xdr:rowOff>
    </xdr:from>
    <xdr:ext cx="114300" cy="945696"/>
    <xdr:sp macro="" textlink="">
      <xdr:nvSpPr>
        <xdr:cNvPr id="2122" name="Text Box 206">
          <a:extLst>
            <a:ext uri="{FF2B5EF4-FFF2-40B4-BE49-F238E27FC236}">
              <a16:creationId xmlns:a16="http://schemas.microsoft.com/office/drawing/2014/main" id="{00000000-0008-0000-0F00-00004A08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3</xdr:row>
      <xdr:rowOff>0</xdr:rowOff>
    </xdr:from>
    <xdr:ext cx="123825" cy="945696"/>
    <xdr:sp macro="" textlink="">
      <xdr:nvSpPr>
        <xdr:cNvPr id="2123" name="Text Box 207">
          <a:extLst>
            <a:ext uri="{FF2B5EF4-FFF2-40B4-BE49-F238E27FC236}">
              <a16:creationId xmlns:a16="http://schemas.microsoft.com/office/drawing/2014/main" id="{00000000-0008-0000-0F00-00004B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3</xdr:row>
      <xdr:rowOff>0</xdr:rowOff>
    </xdr:from>
    <xdr:ext cx="123825" cy="945696"/>
    <xdr:sp macro="" textlink="">
      <xdr:nvSpPr>
        <xdr:cNvPr id="2124" name="Text Box 208">
          <a:extLst>
            <a:ext uri="{FF2B5EF4-FFF2-40B4-BE49-F238E27FC236}">
              <a16:creationId xmlns:a16="http://schemas.microsoft.com/office/drawing/2014/main" id="{00000000-0008-0000-0F00-00004C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3</xdr:row>
      <xdr:rowOff>0</xdr:rowOff>
    </xdr:from>
    <xdr:ext cx="123825" cy="945696"/>
    <xdr:sp macro="" textlink="">
      <xdr:nvSpPr>
        <xdr:cNvPr id="2125" name="Text Box 209">
          <a:extLst>
            <a:ext uri="{FF2B5EF4-FFF2-40B4-BE49-F238E27FC236}">
              <a16:creationId xmlns:a16="http://schemas.microsoft.com/office/drawing/2014/main" id="{00000000-0008-0000-0F00-00004D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3</xdr:row>
      <xdr:rowOff>0</xdr:rowOff>
    </xdr:from>
    <xdr:ext cx="123825" cy="945696"/>
    <xdr:sp macro="" textlink="">
      <xdr:nvSpPr>
        <xdr:cNvPr id="2126" name="Text Box 210">
          <a:extLst>
            <a:ext uri="{FF2B5EF4-FFF2-40B4-BE49-F238E27FC236}">
              <a16:creationId xmlns:a16="http://schemas.microsoft.com/office/drawing/2014/main" id="{00000000-0008-0000-0F00-00004E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27" name="Text Box 211">
          <a:extLst>
            <a:ext uri="{FF2B5EF4-FFF2-40B4-BE49-F238E27FC236}">
              <a16:creationId xmlns:a16="http://schemas.microsoft.com/office/drawing/2014/main" id="{00000000-0008-0000-0F00-00004F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28" name="Text Box 212">
          <a:extLst>
            <a:ext uri="{FF2B5EF4-FFF2-40B4-BE49-F238E27FC236}">
              <a16:creationId xmlns:a16="http://schemas.microsoft.com/office/drawing/2014/main" id="{00000000-0008-0000-0F00-000050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29" name="Text Box 213">
          <a:extLst>
            <a:ext uri="{FF2B5EF4-FFF2-40B4-BE49-F238E27FC236}">
              <a16:creationId xmlns:a16="http://schemas.microsoft.com/office/drawing/2014/main" id="{00000000-0008-0000-0F00-000051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3</xdr:row>
      <xdr:rowOff>0</xdr:rowOff>
    </xdr:from>
    <xdr:ext cx="123825" cy="831396"/>
    <xdr:sp macro="" textlink="">
      <xdr:nvSpPr>
        <xdr:cNvPr id="2130" name="Text Box 214">
          <a:extLst>
            <a:ext uri="{FF2B5EF4-FFF2-40B4-BE49-F238E27FC236}">
              <a16:creationId xmlns:a16="http://schemas.microsoft.com/office/drawing/2014/main" id="{00000000-0008-0000-0F00-000052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938741"/>
    <xdr:sp macro="" textlink="">
      <xdr:nvSpPr>
        <xdr:cNvPr id="2131" name="Text Box 197">
          <a:extLst>
            <a:ext uri="{FF2B5EF4-FFF2-40B4-BE49-F238E27FC236}">
              <a16:creationId xmlns:a16="http://schemas.microsoft.com/office/drawing/2014/main" id="{00000000-0008-0000-0F00-00005308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3</xdr:row>
      <xdr:rowOff>0</xdr:rowOff>
    </xdr:from>
    <xdr:ext cx="123825" cy="938741"/>
    <xdr:sp macro="" textlink="">
      <xdr:nvSpPr>
        <xdr:cNvPr id="2132" name="Text Box 198">
          <a:extLst>
            <a:ext uri="{FF2B5EF4-FFF2-40B4-BE49-F238E27FC236}">
              <a16:creationId xmlns:a16="http://schemas.microsoft.com/office/drawing/2014/main" id="{00000000-0008-0000-0F00-00005408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3</xdr:row>
      <xdr:rowOff>0</xdr:rowOff>
    </xdr:from>
    <xdr:ext cx="123825" cy="938741"/>
    <xdr:sp macro="" textlink="">
      <xdr:nvSpPr>
        <xdr:cNvPr id="2133" name="Text Box 199">
          <a:extLst>
            <a:ext uri="{FF2B5EF4-FFF2-40B4-BE49-F238E27FC236}">
              <a16:creationId xmlns:a16="http://schemas.microsoft.com/office/drawing/2014/main" id="{00000000-0008-0000-0F00-00005508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3</xdr:row>
      <xdr:rowOff>0</xdr:rowOff>
    </xdr:from>
    <xdr:ext cx="123825" cy="938741"/>
    <xdr:sp macro="" textlink="">
      <xdr:nvSpPr>
        <xdr:cNvPr id="2134" name="Text Box 200">
          <a:extLst>
            <a:ext uri="{FF2B5EF4-FFF2-40B4-BE49-F238E27FC236}">
              <a16:creationId xmlns:a16="http://schemas.microsoft.com/office/drawing/2014/main" id="{00000000-0008-0000-0F00-00005608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3</xdr:row>
      <xdr:rowOff>0</xdr:rowOff>
    </xdr:from>
    <xdr:ext cx="123825" cy="938741"/>
    <xdr:sp macro="" textlink="">
      <xdr:nvSpPr>
        <xdr:cNvPr id="2135" name="Text Box 201">
          <a:extLst>
            <a:ext uri="{FF2B5EF4-FFF2-40B4-BE49-F238E27FC236}">
              <a16:creationId xmlns:a16="http://schemas.microsoft.com/office/drawing/2014/main" id="{00000000-0008-0000-0F00-00005708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3</xdr:row>
      <xdr:rowOff>0</xdr:rowOff>
    </xdr:from>
    <xdr:ext cx="123825" cy="938741"/>
    <xdr:sp macro="" textlink="">
      <xdr:nvSpPr>
        <xdr:cNvPr id="2136" name="Text Box 202">
          <a:extLst>
            <a:ext uri="{FF2B5EF4-FFF2-40B4-BE49-F238E27FC236}">
              <a16:creationId xmlns:a16="http://schemas.microsoft.com/office/drawing/2014/main" id="{00000000-0008-0000-0F00-00005808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3</xdr:row>
      <xdr:rowOff>0</xdr:rowOff>
    </xdr:from>
    <xdr:ext cx="123825" cy="938741"/>
    <xdr:sp macro="" textlink="">
      <xdr:nvSpPr>
        <xdr:cNvPr id="2137" name="Text Box 203">
          <a:extLst>
            <a:ext uri="{FF2B5EF4-FFF2-40B4-BE49-F238E27FC236}">
              <a16:creationId xmlns:a16="http://schemas.microsoft.com/office/drawing/2014/main" id="{00000000-0008-0000-0F00-00005908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3</xdr:row>
      <xdr:rowOff>0</xdr:rowOff>
    </xdr:from>
    <xdr:ext cx="123825" cy="938741"/>
    <xdr:sp macro="" textlink="">
      <xdr:nvSpPr>
        <xdr:cNvPr id="2138" name="Text Box 204">
          <a:extLst>
            <a:ext uri="{FF2B5EF4-FFF2-40B4-BE49-F238E27FC236}">
              <a16:creationId xmlns:a16="http://schemas.microsoft.com/office/drawing/2014/main" id="{00000000-0008-0000-0F00-00005A08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3</xdr:row>
      <xdr:rowOff>0</xdr:rowOff>
    </xdr:from>
    <xdr:ext cx="114300" cy="1053041"/>
    <xdr:sp macro="" textlink="">
      <xdr:nvSpPr>
        <xdr:cNvPr id="2139" name="Text Box 205">
          <a:extLst>
            <a:ext uri="{FF2B5EF4-FFF2-40B4-BE49-F238E27FC236}">
              <a16:creationId xmlns:a16="http://schemas.microsoft.com/office/drawing/2014/main" id="{00000000-0008-0000-0F00-00005B080000}"/>
            </a:ext>
          </a:extLst>
        </xdr:cNvPr>
        <xdr:cNvSpPr txBox="1">
          <a:spLocks noChangeArrowheads="1"/>
        </xdr:cNvSpPr>
      </xdr:nvSpPr>
      <xdr:spPr bwMode="auto">
        <a:xfrm>
          <a:off x="3100917" y="4921250"/>
          <a:ext cx="114300" cy="1053041"/>
        </a:xfrm>
        <a:prstGeom prst="rect">
          <a:avLst/>
        </a:prstGeom>
        <a:noFill/>
        <a:ln w="9525">
          <a:noFill/>
          <a:miter lim="800000"/>
          <a:headEnd/>
          <a:tailEnd/>
        </a:ln>
      </xdr:spPr>
    </xdr:sp>
    <xdr:clientData/>
  </xdr:oneCellAnchor>
  <xdr:oneCellAnchor>
    <xdr:from>
      <xdr:col>4</xdr:col>
      <xdr:colOff>0</xdr:colOff>
      <xdr:row>3</xdr:row>
      <xdr:rowOff>0</xdr:rowOff>
    </xdr:from>
    <xdr:ext cx="114300" cy="1053041"/>
    <xdr:sp macro="" textlink="">
      <xdr:nvSpPr>
        <xdr:cNvPr id="2140" name="Text Box 206">
          <a:extLst>
            <a:ext uri="{FF2B5EF4-FFF2-40B4-BE49-F238E27FC236}">
              <a16:creationId xmlns:a16="http://schemas.microsoft.com/office/drawing/2014/main" id="{00000000-0008-0000-0F00-00005C080000}"/>
            </a:ext>
          </a:extLst>
        </xdr:cNvPr>
        <xdr:cNvSpPr txBox="1">
          <a:spLocks noChangeArrowheads="1"/>
        </xdr:cNvSpPr>
      </xdr:nvSpPr>
      <xdr:spPr bwMode="auto">
        <a:xfrm>
          <a:off x="3100917" y="4921250"/>
          <a:ext cx="114300" cy="1053041"/>
        </a:xfrm>
        <a:prstGeom prst="rect">
          <a:avLst/>
        </a:prstGeom>
        <a:noFill/>
        <a:ln w="9525">
          <a:noFill/>
          <a:miter lim="800000"/>
          <a:headEnd/>
          <a:tailEnd/>
        </a:ln>
      </xdr:spPr>
    </xdr:sp>
    <xdr:clientData/>
  </xdr:oneCellAnchor>
  <xdr:oneCellAnchor>
    <xdr:from>
      <xdr:col>4</xdr:col>
      <xdr:colOff>0</xdr:colOff>
      <xdr:row>3</xdr:row>
      <xdr:rowOff>0</xdr:rowOff>
    </xdr:from>
    <xdr:ext cx="123825" cy="1053041"/>
    <xdr:sp macro="" textlink="">
      <xdr:nvSpPr>
        <xdr:cNvPr id="2141" name="Text Box 207">
          <a:extLst>
            <a:ext uri="{FF2B5EF4-FFF2-40B4-BE49-F238E27FC236}">
              <a16:creationId xmlns:a16="http://schemas.microsoft.com/office/drawing/2014/main" id="{00000000-0008-0000-0F00-00005D08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3</xdr:row>
      <xdr:rowOff>0</xdr:rowOff>
    </xdr:from>
    <xdr:ext cx="123825" cy="1053041"/>
    <xdr:sp macro="" textlink="">
      <xdr:nvSpPr>
        <xdr:cNvPr id="2142" name="Text Box 208">
          <a:extLst>
            <a:ext uri="{FF2B5EF4-FFF2-40B4-BE49-F238E27FC236}">
              <a16:creationId xmlns:a16="http://schemas.microsoft.com/office/drawing/2014/main" id="{00000000-0008-0000-0F00-00005E08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3</xdr:row>
      <xdr:rowOff>0</xdr:rowOff>
    </xdr:from>
    <xdr:ext cx="123825" cy="1053041"/>
    <xdr:sp macro="" textlink="">
      <xdr:nvSpPr>
        <xdr:cNvPr id="2143" name="Text Box 209">
          <a:extLst>
            <a:ext uri="{FF2B5EF4-FFF2-40B4-BE49-F238E27FC236}">
              <a16:creationId xmlns:a16="http://schemas.microsoft.com/office/drawing/2014/main" id="{00000000-0008-0000-0F00-00005F08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3</xdr:row>
      <xdr:rowOff>0</xdr:rowOff>
    </xdr:from>
    <xdr:ext cx="123825" cy="1053041"/>
    <xdr:sp macro="" textlink="">
      <xdr:nvSpPr>
        <xdr:cNvPr id="2144" name="Text Box 210">
          <a:extLst>
            <a:ext uri="{FF2B5EF4-FFF2-40B4-BE49-F238E27FC236}">
              <a16:creationId xmlns:a16="http://schemas.microsoft.com/office/drawing/2014/main" id="{00000000-0008-0000-0F00-000060080000}"/>
            </a:ext>
          </a:extLst>
        </xdr:cNvPr>
        <xdr:cNvSpPr txBox="1">
          <a:spLocks noChangeArrowheads="1"/>
        </xdr:cNvSpPr>
      </xdr:nvSpPr>
      <xdr:spPr bwMode="auto">
        <a:xfrm>
          <a:off x="3100917" y="4921250"/>
          <a:ext cx="123825" cy="1053041"/>
        </a:xfrm>
        <a:prstGeom prst="rect">
          <a:avLst/>
        </a:prstGeom>
        <a:noFill/>
        <a:ln w="9525">
          <a:noFill/>
          <a:miter lim="800000"/>
          <a:headEnd/>
          <a:tailEnd/>
        </a:ln>
      </xdr:spPr>
    </xdr:sp>
    <xdr:clientData/>
  </xdr:oneCellAnchor>
  <xdr:oneCellAnchor>
    <xdr:from>
      <xdr:col>4</xdr:col>
      <xdr:colOff>0</xdr:colOff>
      <xdr:row>3</xdr:row>
      <xdr:rowOff>0</xdr:rowOff>
    </xdr:from>
    <xdr:ext cx="123825" cy="938741"/>
    <xdr:sp macro="" textlink="">
      <xdr:nvSpPr>
        <xdr:cNvPr id="2145" name="Text Box 211">
          <a:extLst>
            <a:ext uri="{FF2B5EF4-FFF2-40B4-BE49-F238E27FC236}">
              <a16:creationId xmlns:a16="http://schemas.microsoft.com/office/drawing/2014/main" id="{00000000-0008-0000-0F00-00006108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3</xdr:row>
      <xdr:rowOff>0</xdr:rowOff>
    </xdr:from>
    <xdr:ext cx="123825" cy="938741"/>
    <xdr:sp macro="" textlink="">
      <xdr:nvSpPr>
        <xdr:cNvPr id="2146" name="Text Box 212">
          <a:extLst>
            <a:ext uri="{FF2B5EF4-FFF2-40B4-BE49-F238E27FC236}">
              <a16:creationId xmlns:a16="http://schemas.microsoft.com/office/drawing/2014/main" id="{00000000-0008-0000-0F00-00006208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3</xdr:row>
      <xdr:rowOff>0</xdr:rowOff>
    </xdr:from>
    <xdr:ext cx="123825" cy="938741"/>
    <xdr:sp macro="" textlink="">
      <xdr:nvSpPr>
        <xdr:cNvPr id="2147" name="Text Box 213">
          <a:extLst>
            <a:ext uri="{FF2B5EF4-FFF2-40B4-BE49-F238E27FC236}">
              <a16:creationId xmlns:a16="http://schemas.microsoft.com/office/drawing/2014/main" id="{00000000-0008-0000-0F00-00006308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3</xdr:row>
      <xdr:rowOff>0</xdr:rowOff>
    </xdr:from>
    <xdr:ext cx="123825" cy="938741"/>
    <xdr:sp macro="" textlink="">
      <xdr:nvSpPr>
        <xdr:cNvPr id="2148" name="Text Box 214">
          <a:extLst>
            <a:ext uri="{FF2B5EF4-FFF2-40B4-BE49-F238E27FC236}">
              <a16:creationId xmlns:a16="http://schemas.microsoft.com/office/drawing/2014/main" id="{00000000-0008-0000-0F00-000064080000}"/>
            </a:ext>
          </a:extLst>
        </xdr:cNvPr>
        <xdr:cNvSpPr txBox="1">
          <a:spLocks noChangeArrowheads="1"/>
        </xdr:cNvSpPr>
      </xdr:nvSpPr>
      <xdr:spPr bwMode="auto">
        <a:xfrm>
          <a:off x="3100917" y="4921250"/>
          <a:ext cx="123825" cy="938741"/>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49" name="Text Box 197">
          <a:extLst>
            <a:ext uri="{FF2B5EF4-FFF2-40B4-BE49-F238E27FC236}">
              <a16:creationId xmlns:a16="http://schemas.microsoft.com/office/drawing/2014/main" id="{00000000-0008-0000-0F00-000065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50" name="Text Box 198">
          <a:extLst>
            <a:ext uri="{FF2B5EF4-FFF2-40B4-BE49-F238E27FC236}">
              <a16:creationId xmlns:a16="http://schemas.microsoft.com/office/drawing/2014/main" id="{00000000-0008-0000-0F00-000066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51" name="Text Box 199">
          <a:extLst>
            <a:ext uri="{FF2B5EF4-FFF2-40B4-BE49-F238E27FC236}">
              <a16:creationId xmlns:a16="http://schemas.microsoft.com/office/drawing/2014/main" id="{00000000-0008-0000-0F00-000067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52" name="Text Box 200">
          <a:extLst>
            <a:ext uri="{FF2B5EF4-FFF2-40B4-BE49-F238E27FC236}">
              <a16:creationId xmlns:a16="http://schemas.microsoft.com/office/drawing/2014/main" id="{00000000-0008-0000-0F00-000068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53" name="Text Box 201">
          <a:extLst>
            <a:ext uri="{FF2B5EF4-FFF2-40B4-BE49-F238E27FC236}">
              <a16:creationId xmlns:a16="http://schemas.microsoft.com/office/drawing/2014/main" id="{00000000-0008-0000-0F00-000069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54" name="Text Box 202">
          <a:extLst>
            <a:ext uri="{FF2B5EF4-FFF2-40B4-BE49-F238E27FC236}">
              <a16:creationId xmlns:a16="http://schemas.microsoft.com/office/drawing/2014/main" id="{00000000-0008-0000-0F00-00006A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55" name="Text Box 203">
          <a:extLst>
            <a:ext uri="{FF2B5EF4-FFF2-40B4-BE49-F238E27FC236}">
              <a16:creationId xmlns:a16="http://schemas.microsoft.com/office/drawing/2014/main" id="{00000000-0008-0000-0F00-00006B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56" name="Text Box 204">
          <a:extLst>
            <a:ext uri="{FF2B5EF4-FFF2-40B4-BE49-F238E27FC236}">
              <a16:creationId xmlns:a16="http://schemas.microsoft.com/office/drawing/2014/main" id="{00000000-0008-0000-0F00-00006C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14300" cy="945696"/>
    <xdr:sp macro="" textlink="">
      <xdr:nvSpPr>
        <xdr:cNvPr id="2157" name="Text Box 205">
          <a:extLst>
            <a:ext uri="{FF2B5EF4-FFF2-40B4-BE49-F238E27FC236}">
              <a16:creationId xmlns:a16="http://schemas.microsoft.com/office/drawing/2014/main" id="{00000000-0008-0000-0F00-00006D08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4</xdr:row>
      <xdr:rowOff>0</xdr:rowOff>
    </xdr:from>
    <xdr:ext cx="114300" cy="945696"/>
    <xdr:sp macro="" textlink="">
      <xdr:nvSpPr>
        <xdr:cNvPr id="2158" name="Text Box 206">
          <a:extLst>
            <a:ext uri="{FF2B5EF4-FFF2-40B4-BE49-F238E27FC236}">
              <a16:creationId xmlns:a16="http://schemas.microsoft.com/office/drawing/2014/main" id="{00000000-0008-0000-0F00-00006E08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4</xdr:row>
      <xdr:rowOff>0</xdr:rowOff>
    </xdr:from>
    <xdr:ext cx="123825" cy="945696"/>
    <xdr:sp macro="" textlink="">
      <xdr:nvSpPr>
        <xdr:cNvPr id="2159" name="Text Box 207">
          <a:extLst>
            <a:ext uri="{FF2B5EF4-FFF2-40B4-BE49-F238E27FC236}">
              <a16:creationId xmlns:a16="http://schemas.microsoft.com/office/drawing/2014/main" id="{00000000-0008-0000-0F00-00006F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4</xdr:row>
      <xdr:rowOff>0</xdr:rowOff>
    </xdr:from>
    <xdr:ext cx="123825" cy="945696"/>
    <xdr:sp macro="" textlink="">
      <xdr:nvSpPr>
        <xdr:cNvPr id="2160" name="Text Box 208">
          <a:extLst>
            <a:ext uri="{FF2B5EF4-FFF2-40B4-BE49-F238E27FC236}">
              <a16:creationId xmlns:a16="http://schemas.microsoft.com/office/drawing/2014/main" id="{00000000-0008-0000-0F00-000070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4</xdr:row>
      <xdr:rowOff>0</xdr:rowOff>
    </xdr:from>
    <xdr:ext cx="123825" cy="945696"/>
    <xdr:sp macro="" textlink="">
      <xdr:nvSpPr>
        <xdr:cNvPr id="2161" name="Text Box 209">
          <a:extLst>
            <a:ext uri="{FF2B5EF4-FFF2-40B4-BE49-F238E27FC236}">
              <a16:creationId xmlns:a16="http://schemas.microsoft.com/office/drawing/2014/main" id="{00000000-0008-0000-0F00-000071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4</xdr:row>
      <xdr:rowOff>0</xdr:rowOff>
    </xdr:from>
    <xdr:ext cx="123825" cy="945696"/>
    <xdr:sp macro="" textlink="">
      <xdr:nvSpPr>
        <xdr:cNvPr id="2162" name="Text Box 210">
          <a:extLst>
            <a:ext uri="{FF2B5EF4-FFF2-40B4-BE49-F238E27FC236}">
              <a16:creationId xmlns:a16="http://schemas.microsoft.com/office/drawing/2014/main" id="{00000000-0008-0000-0F00-000072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63" name="Text Box 211">
          <a:extLst>
            <a:ext uri="{FF2B5EF4-FFF2-40B4-BE49-F238E27FC236}">
              <a16:creationId xmlns:a16="http://schemas.microsoft.com/office/drawing/2014/main" id="{00000000-0008-0000-0F00-000073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64" name="Text Box 212">
          <a:extLst>
            <a:ext uri="{FF2B5EF4-FFF2-40B4-BE49-F238E27FC236}">
              <a16:creationId xmlns:a16="http://schemas.microsoft.com/office/drawing/2014/main" id="{00000000-0008-0000-0F00-000074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65" name="Text Box 213">
          <a:extLst>
            <a:ext uri="{FF2B5EF4-FFF2-40B4-BE49-F238E27FC236}">
              <a16:creationId xmlns:a16="http://schemas.microsoft.com/office/drawing/2014/main" id="{00000000-0008-0000-0F00-000075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66" name="Text Box 214">
          <a:extLst>
            <a:ext uri="{FF2B5EF4-FFF2-40B4-BE49-F238E27FC236}">
              <a16:creationId xmlns:a16="http://schemas.microsoft.com/office/drawing/2014/main" id="{00000000-0008-0000-0F00-000076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3</xdr:row>
      <xdr:rowOff>0</xdr:rowOff>
    </xdr:from>
    <xdr:ext cx="123825" cy="934660"/>
    <xdr:sp macro="" textlink="">
      <xdr:nvSpPr>
        <xdr:cNvPr id="2167" name="Text Box 197">
          <a:extLst>
            <a:ext uri="{FF2B5EF4-FFF2-40B4-BE49-F238E27FC236}">
              <a16:creationId xmlns:a16="http://schemas.microsoft.com/office/drawing/2014/main" id="{00000000-0008-0000-0F00-00007708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3</xdr:row>
      <xdr:rowOff>0</xdr:rowOff>
    </xdr:from>
    <xdr:ext cx="123825" cy="934660"/>
    <xdr:sp macro="" textlink="">
      <xdr:nvSpPr>
        <xdr:cNvPr id="2168" name="Text Box 198">
          <a:extLst>
            <a:ext uri="{FF2B5EF4-FFF2-40B4-BE49-F238E27FC236}">
              <a16:creationId xmlns:a16="http://schemas.microsoft.com/office/drawing/2014/main" id="{00000000-0008-0000-0F00-00007808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3</xdr:row>
      <xdr:rowOff>0</xdr:rowOff>
    </xdr:from>
    <xdr:ext cx="123825" cy="934660"/>
    <xdr:sp macro="" textlink="">
      <xdr:nvSpPr>
        <xdr:cNvPr id="2169" name="Text Box 199">
          <a:extLst>
            <a:ext uri="{FF2B5EF4-FFF2-40B4-BE49-F238E27FC236}">
              <a16:creationId xmlns:a16="http://schemas.microsoft.com/office/drawing/2014/main" id="{00000000-0008-0000-0F00-00007908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3</xdr:row>
      <xdr:rowOff>0</xdr:rowOff>
    </xdr:from>
    <xdr:ext cx="123825" cy="934660"/>
    <xdr:sp macro="" textlink="">
      <xdr:nvSpPr>
        <xdr:cNvPr id="2170" name="Text Box 200">
          <a:extLst>
            <a:ext uri="{FF2B5EF4-FFF2-40B4-BE49-F238E27FC236}">
              <a16:creationId xmlns:a16="http://schemas.microsoft.com/office/drawing/2014/main" id="{00000000-0008-0000-0F00-00007A08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3</xdr:row>
      <xdr:rowOff>0</xdr:rowOff>
    </xdr:from>
    <xdr:ext cx="123825" cy="934660"/>
    <xdr:sp macro="" textlink="">
      <xdr:nvSpPr>
        <xdr:cNvPr id="2171" name="Text Box 201">
          <a:extLst>
            <a:ext uri="{FF2B5EF4-FFF2-40B4-BE49-F238E27FC236}">
              <a16:creationId xmlns:a16="http://schemas.microsoft.com/office/drawing/2014/main" id="{00000000-0008-0000-0F00-00007B08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3</xdr:row>
      <xdr:rowOff>0</xdr:rowOff>
    </xdr:from>
    <xdr:ext cx="123825" cy="934660"/>
    <xdr:sp macro="" textlink="">
      <xdr:nvSpPr>
        <xdr:cNvPr id="2172" name="Text Box 202">
          <a:extLst>
            <a:ext uri="{FF2B5EF4-FFF2-40B4-BE49-F238E27FC236}">
              <a16:creationId xmlns:a16="http://schemas.microsoft.com/office/drawing/2014/main" id="{00000000-0008-0000-0F00-00007C08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3</xdr:row>
      <xdr:rowOff>0</xdr:rowOff>
    </xdr:from>
    <xdr:ext cx="123825" cy="934660"/>
    <xdr:sp macro="" textlink="">
      <xdr:nvSpPr>
        <xdr:cNvPr id="2173" name="Text Box 203">
          <a:extLst>
            <a:ext uri="{FF2B5EF4-FFF2-40B4-BE49-F238E27FC236}">
              <a16:creationId xmlns:a16="http://schemas.microsoft.com/office/drawing/2014/main" id="{00000000-0008-0000-0F00-00007D08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3</xdr:row>
      <xdr:rowOff>0</xdr:rowOff>
    </xdr:from>
    <xdr:ext cx="123825" cy="934660"/>
    <xdr:sp macro="" textlink="">
      <xdr:nvSpPr>
        <xdr:cNvPr id="2174" name="Text Box 204">
          <a:extLst>
            <a:ext uri="{FF2B5EF4-FFF2-40B4-BE49-F238E27FC236}">
              <a16:creationId xmlns:a16="http://schemas.microsoft.com/office/drawing/2014/main" id="{00000000-0008-0000-0F00-00007E08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3</xdr:row>
      <xdr:rowOff>0</xdr:rowOff>
    </xdr:from>
    <xdr:ext cx="114300" cy="1048960"/>
    <xdr:sp macro="" textlink="">
      <xdr:nvSpPr>
        <xdr:cNvPr id="2175" name="Text Box 205">
          <a:extLst>
            <a:ext uri="{FF2B5EF4-FFF2-40B4-BE49-F238E27FC236}">
              <a16:creationId xmlns:a16="http://schemas.microsoft.com/office/drawing/2014/main" id="{00000000-0008-0000-0F00-00007F080000}"/>
            </a:ext>
          </a:extLst>
        </xdr:cNvPr>
        <xdr:cNvSpPr txBox="1">
          <a:spLocks noChangeArrowheads="1"/>
        </xdr:cNvSpPr>
      </xdr:nvSpPr>
      <xdr:spPr bwMode="auto">
        <a:xfrm>
          <a:off x="3100917" y="4921250"/>
          <a:ext cx="114300" cy="1048960"/>
        </a:xfrm>
        <a:prstGeom prst="rect">
          <a:avLst/>
        </a:prstGeom>
        <a:noFill/>
        <a:ln w="9525">
          <a:noFill/>
          <a:miter lim="800000"/>
          <a:headEnd/>
          <a:tailEnd/>
        </a:ln>
      </xdr:spPr>
    </xdr:sp>
    <xdr:clientData/>
  </xdr:oneCellAnchor>
  <xdr:oneCellAnchor>
    <xdr:from>
      <xdr:col>4</xdr:col>
      <xdr:colOff>0</xdr:colOff>
      <xdr:row>3</xdr:row>
      <xdr:rowOff>0</xdr:rowOff>
    </xdr:from>
    <xdr:ext cx="114300" cy="1048960"/>
    <xdr:sp macro="" textlink="">
      <xdr:nvSpPr>
        <xdr:cNvPr id="2176" name="Text Box 206">
          <a:extLst>
            <a:ext uri="{FF2B5EF4-FFF2-40B4-BE49-F238E27FC236}">
              <a16:creationId xmlns:a16="http://schemas.microsoft.com/office/drawing/2014/main" id="{00000000-0008-0000-0F00-000080080000}"/>
            </a:ext>
          </a:extLst>
        </xdr:cNvPr>
        <xdr:cNvSpPr txBox="1">
          <a:spLocks noChangeArrowheads="1"/>
        </xdr:cNvSpPr>
      </xdr:nvSpPr>
      <xdr:spPr bwMode="auto">
        <a:xfrm>
          <a:off x="3100917" y="4921250"/>
          <a:ext cx="114300" cy="1048960"/>
        </a:xfrm>
        <a:prstGeom prst="rect">
          <a:avLst/>
        </a:prstGeom>
        <a:noFill/>
        <a:ln w="9525">
          <a:noFill/>
          <a:miter lim="800000"/>
          <a:headEnd/>
          <a:tailEnd/>
        </a:ln>
      </xdr:spPr>
    </xdr:sp>
    <xdr:clientData/>
  </xdr:oneCellAnchor>
  <xdr:oneCellAnchor>
    <xdr:from>
      <xdr:col>4</xdr:col>
      <xdr:colOff>0</xdr:colOff>
      <xdr:row>3</xdr:row>
      <xdr:rowOff>0</xdr:rowOff>
    </xdr:from>
    <xdr:ext cx="123825" cy="1048960"/>
    <xdr:sp macro="" textlink="">
      <xdr:nvSpPr>
        <xdr:cNvPr id="2177" name="Text Box 207">
          <a:extLst>
            <a:ext uri="{FF2B5EF4-FFF2-40B4-BE49-F238E27FC236}">
              <a16:creationId xmlns:a16="http://schemas.microsoft.com/office/drawing/2014/main" id="{00000000-0008-0000-0F00-00008108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3</xdr:row>
      <xdr:rowOff>0</xdr:rowOff>
    </xdr:from>
    <xdr:ext cx="123825" cy="1048960"/>
    <xdr:sp macro="" textlink="">
      <xdr:nvSpPr>
        <xdr:cNvPr id="2178" name="Text Box 208">
          <a:extLst>
            <a:ext uri="{FF2B5EF4-FFF2-40B4-BE49-F238E27FC236}">
              <a16:creationId xmlns:a16="http://schemas.microsoft.com/office/drawing/2014/main" id="{00000000-0008-0000-0F00-00008208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3</xdr:row>
      <xdr:rowOff>0</xdr:rowOff>
    </xdr:from>
    <xdr:ext cx="123825" cy="1048960"/>
    <xdr:sp macro="" textlink="">
      <xdr:nvSpPr>
        <xdr:cNvPr id="2179" name="Text Box 209">
          <a:extLst>
            <a:ext uri="{FF2B5EF4-FFF2-40B4-BE49-F238E27FC236}">
              <a16:creationId xmlns:a16="http://schemas.microsoft.com/office/drawing/2014/main" id="{00000000-0008-0000-0F00-00008308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3</xdr:row>
      <xdr:rowOff>0</xdr:rowOff>
    </xdr:from>
    <xdr:ext cx="123825" cy="1048960"/>
    <xdr:sp macro="" textlink="">
      <xdr:nvSpPr>
        <xdr:cNvPr id="2180" name="Text Box 210">
          <a:extLst>
            <a:ext uri="{FF2B5EF4-FFF2-40B4-BE49-F238E27FC236}">
              <a16:creationId xmlns:a16="http://schemas.microsoft.com/office/drawing/2014/main" id="{00000000-0008-0000-0F00-000084080000}"/>
            </a:ext>
          </a:extLst>
        </xdr:cNvPr>
        <xdr:cNvSpPr txBox="1">
          <a:spLocks noChangeArrowheads="1"/>
        </xdr:cNvSpPr>
      </xdr:nvSpPr>
      <xdr:spPr bwMode="auto">
        <a:xfrm>
          <a:off x="3100917" y="4921250"/>
          <a:ext cx="123825" cy="1048960"/>
        </a:xfrm>
        <a:prstGeom prst="rect">
          <a:avLst/>
        </a:prstGeom>
        <a:noFill/>
        <a:ln w="9525">
          <a:noFill/>
          <a:miter lim="800000"/>
          <a:headEnd/>
          <a:tailEnd/>
        </a:ln>
      </xdr:spPr>
    </xdr:sp>
    <xdr:clientData/>
  </xdr:oneCellAnchor>
  <xdr:oneCellAnchor>
    <xdr:from>
      <xdr:col>4</xdr:col>
      <xdr:colOff>0</xdr:colOff>
      <xdr:row>3</xdr:row>
      <xdr:rowOff>0</xdr:rowOff>
    </xdr:from>
    <xdr:ext cx="123825" cy="934660"/>
    <xdr:sp macro="" textlink="">
      <xdr:nvSpPr>
        <xdr:cNvPr id="2181" name="Text Box 211">
          <a:extLst>
            <a:ext uri="{FF2B5EF4-FFF2-40B4-BE49-F238E27FC236}">
              <a16:creationId xmlns:a16="http://schemas.microsoft.com/office/drawing/2014/main" id="{00000000-0008-0000-0F00-00008508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3</xdr:row>
      <xdr:rowOff>0</xdr:rowOff>
    </xdr:from>
    <xdr:ext cx="123825" cy="934660"/>
    <xdr:sp macro="" textlink="">
      <xdr:nvSpPr>
        <xdr:cNvPr id="2182" name="Text Box 212">
          <a:extLst>
            <a:ext uri="{FF2B5EF4-FFF2-40B4-BE49-F238E27FC236}">
              <a16:creationId xmlns:a16="http://schemas.microsoft.com/office/drawing/2014/main" id="{00000000-0008-0000-0F00-00008608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3</xdr:row>
      <xdr:rowOff>0</xdr:rowOff>
    </xdr:from>
    <xdr:ext cx="123825" cy="934660"/>
    <xdr:sp macro="" textlink="">
      <xdr:nvSpPr>
        <xdr:cNvPr id="2183" name="Text Box 213">
          <a:extLst>
            <a:ext uri="{FF2B5EF4-FFF2-40B4-BE49-F238E27FC236}">
              <a16:creationId xmlns:a16="http://schemas.microsoft.com/office/drawing/2014/main" id="{00000000-0008-0000-0F00-00008708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3</xdr:row>
      <xdr:rowOff>0</xdr:rowOff>
    </xdr:from>
    <xdr:ext cx="123825" cy="934660"/>
    <xdr:sp macro="" textlink="">
      <xdr:nvSpPr>
        <xdr:cNvPr id="2184" name="Text Box 214">
          <a:extLst>
            <a:ext uri="{FF2B5EF4-FFF2-40B4-BE49-F238E27FC236}">
              <a16:creationId xmlns:a16="http://schemas.microsoft.com/office/drawing/2014/main" id="{00000000-0008-0000-0F00-000088080000}"/>
            </a:ext>
          </a:extLst>
        </xdr:cNvPr>
        <xdr:cNvSpPr txBox="1">
          <a:spLocks noChangeArrowheads="1"/>
        </xdr:cNvSpPr>
      </xdr:nvSpPr>
      <xdr:spPr bwMode="auto">
        <a:xfrm>
          <a:off x="3100917" y="4921250"/>
          <a:ext cx="123825" cy="934660"/>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85" name="Text Box 197">
          <a:extLst>
            <a:ext uri="{FF2B5EF4-FFF2-40B4-BE49-F238E27FC236}">
              <a16:creationId xmlns:a16="http://schemas.microsoft.com/office/drawing/2014/main" id="{00000000-0008-0000-0F00-000089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86" name="Text Box 198">
          <a:extLst>
            <a:ext uri="{FF2B5EF4-FFF2-40B4-BE49-F238E27FC236}">
              <a16:creationId xmlns:a16="http://schemas.microsoft.com/office/drawing/2014/main" id="{00000000-0008-0000-0F00-00008A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87" name="Text Box 199">
          <a:extLst>
            <a:ext uri="{FF2B5EF4-FFF2-40B4-BE49-F238E27FC236}">
              <a16:creationId xmlns:a16="http://schemas.microsoft.com/office/drawing/2014/main" id="{00000000-0008-0000-0F00-00008B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88" name="Text Box 200">
          <a:extLst>
            <a:ext uri="{FF2B5EF4-FFF2-40B4-BE49-F238E27FC236}">
              <a16:creationId xmlns:a16="http://schemas.microsoft.com/office/drawing/2014/main" id="{00000000-0008-0000-0F00-00008C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89" name="Text Box 201">
          <a:extLst>
            <a:ext uri="{FF2B5EF4-FFF2-40B4-BE49-F238E27FC236}">
              <a16:creationId xmlns:a16="http://schemas.microsoft.com/office/drawing/2014/main" id="{00000000-0008-0000-0F00-00008D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90" name="Text Box 202">
          <a:extLst>
            <a:ext uri="{FF2B5EF4-FFF2-40B4-BE49-F238E27FC236}">
              <a16:creationId xmlns:a16="http://schemas.microsoft.com/office/drawing/2014/main" id="{00000000-0008-0000-0F00-00008E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91" name="Text Box 203">
          <a:extLst>
            <a:ext uri="{FF2B5EF4-FFF2-40B4-BE49-F238E27FC236}">
              <a16:creationId xmlns:a16="http://schemas.microsoft.com/office/drawing/2014/main" id="{00000000-0008-0000-0F00-00008F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92" name="Text Box 204">
          <a:extLst>
            <a:ext uri="{FF2B5EF4-FFF2-40B4-BE49-F238E27FC236}">
              <a16:creationId xmlns:a16="http://schemas.microsoft.com/office/drawing/2014/main" id="{00000000-0008-0000-0F00-000090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14300" cy="945696"/>
    <xdr:sp macro="" textlink="">
      <xdr:nvSpPr>
        <xdr:cNvPr id="2193" name="Text Box 205">
          <a:extLst>
            <a:ext uri="{FF2B5EF4-FFF2-40B4-BE49-F238E27FC236}">
              <a16:creationId xmlns:a16="http://schemas.microsoft.com/office/drawing/2014/main" id="{00000000-0008-0000-0F00-00009108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4</xdr:row>
      <xdr:rowOff>0</xdr:rowOff>
    </xdr:from>
    <xdr:ext cx="114300" cy="945696"/>
    <xdr:sp macro="" textlink="">
      <xdr:nvSpPr>
        <xdr:cNvPr id="2194" name="Text Box 206">
          <a:extLst>
            <a:ext uri="{FF2B5EF4-FFF2-40B4-BE49-F238E27FC236}">
              <a16:creationId xmlns:a16="http://schemas.microsoft.com/office/drawing/2014/main" id="{00000000-0008-0000-0F00-00009208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4</xdr:col>
      <xdr:colOff>0</xdr:colOff>
      <xdr:row>4</xdr:row>
      <xdr:rowOff>0</xdr:rowOff>
    </xdr:from>
    <xdr:ext cx="123825" cy="945696"/>
    <xdr:sp macro="" textlink="">
      <xdr:nvSpPr>
        <xdr:cNvPr id="2195" name="Text Box 207">
          <a:extLst>
            <a:ext uri="{FF2B5EF4-FFF2-40B4-BE49-F238E27FC236}">
              <a16:creationId xmlns:a16="http://schemas.microsoft.com/office/drawing/2014/main" id="{00000000-0008-0000-0F00-000093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4</xdr:row>
      <xdr:rowOff>0</xdr:rowOff>
    </xdr:from>
    <xdr:ext cx="123825" cy="945696"/>
    <xdr:sp macro="" textlink="">
      <xdr:nvSpPr>
        <xdr:cNvPr id="2196" name="Text Box 208">
          <a:extLst>
            <a:ext uri="{FF2B5EF4-FFF2-40B4-BE49-F238E27FC236}">
              <a16:creationId xmlns:a16="http://schemas.microsoft.com/office/drawing/2014/main" id="{00000000-0008-0000-0F00-000094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4</xdr:row>
      <xdr:rowOff>0</xdr:rowOff>
    </xdr:from>
    <xdr:ext cx="123825" cy="945696"/>
    <xdr:sp macro="" textlink="">
      <xdr:nvSpPr>
        <xdr:cNvPr id="2197" name="Text Box 209">
          <a:extLst>
            <a:ext uri="{FF2B5EF4-FFF2-40B4-BE49-F238E27FC236}">
              <a16:creationId xmlns:a16="http://schemas.microsoft.com/office/drawing/2014/main" id="{00000000-0008-0000-0F00-000095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4</xdr:row>
      <xdr:rowOff>0</xdr:rowOff>
    </xdr:from>
    <xdr:ext cx="123825" cy="945696"/>
    <xdr:sp macro="" textlink="">
      <xdr:nvSpPr>
        <xdr:cNvPr id="2198" name="Text Box 210">
          <a:extLst>
            <a:ext uri="{FF2B5EF4-FFF2-40B4-BE49-F238E27FC236}">
              <a16:creationId xmlns:a16="http://schemas.microsoft.com/office/drawing/2014/main" id="{00000000-0008-0000-0F00-000096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199" name="Text Box 211">
          <a:extLst>
            <a:ext uri="{FF2B5EF4-FFF2-40B4-BE49-F238E27FC236}">
              <a16:creationId xmlns:a16="http://schemas.microsoft.com/office/drawing/2014/main" id="{00000000-0008-0000-0F00-000097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200" name="Text Box 212">
          <a:extLst>
            <a:ext uri="{FF2B5EF4-FFF2-40B4-BE49-F238E27FC236}">
              <a16:creationId xmlns:a16="http://schemas.microsoft.com/office/drawing/2014/main" id="{00000000-0008-0000-0F00-000098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201" name="Text Box 213">
          <a:extLst>
            <a:ext uri="{FF2B5EF4-FFF2-40B4-BE49-F238E27FC236}">
              <a16:creationId xmlns:a16="http://schemas.microsoft.com/office/drawing/2014/main" id="{00000000-0008-0000-0F00-000099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4</xdr:col>
      <xdr:colOff>0</xdr:colOff>
      <xdr:row>4</xdr:row>
      <xdr:rowOff>0</xdr:rowOff>
    </xdr:from>
    <xdr:ext cx="123825" cy="831396"/>
    <xdr:sp macro="" textlink="">
      <xdr:nvSpPr>
        <xdr:cNvPr id="2202" name="Text Box 214">
          <a:extLst>
            <a:ext uri="{FF2B5EF4-FFF2-40B4-BE49-F238E27FC236}">
              <a16:creationId xmlns:a16="http://schemas.microsoft.com/office/drawing/2014/main" id="{00000000-0008-0000-0F00-00009A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940252"/>
    <xdr:sp macro="" textlink="">
      <xdr:nvSpPr>
        <xdr:cNvPr id="2203" name="Text Box 197">
          <a:extLst>
            <a:ext uri="{FF2B5EF4-FFF2-40B4-BE49-F238E27FC236}">
              <a16:creationId xmlns:a16="http://schemas.microsoft.com/office/drawing/2014/main" id="{00000000-0008-0000-0F00-00009B08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3</xdr:row>
      <xdr:rowOff>0</xdr:rowOff>
    </xdr:from>
    <xdr:ext cx="123825" cy="940252"/>
    <xdr:sp macro="" textlink="">
      <xdr:nvSpPr>
        <xdr:cNvPr id="2204" name="Text Box 198">
          <a:extLst>
            <a:ext uri="{FF2B5EF4-FFF2-40B4-BE49-F238E27FC236}">
              <a16:creationId xmlns:a16="http://schemas.microsoft.com/office/drawing/2014/main" id="{00000000-0008-0000-0F00-00009C08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3</xdr:row>
      <xdr:rowOff>0</xdr:rowOff>
    </xdr:from>
    <xdr:ext cx="123825" cy="940252"/>
    <xdr:sp macro="" textlink="">
      <xdr:nvSpPr>
        <xdr:cNvPr id="2205" name="Text Box 199">
          <a:extLst>
            <a:ext uri="{FF2B5EF4-FFF2-40B4-BE49-F238E27FC236}">
              <a16:creationId xmlns:a16="http://schemas.microsoft.com/office/drawing/2014/main" id="{00000000-0008-0000-0F00-00009D08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3</xdr:row>
      <xdr:rowOff>0</xdr:rowOff>
    </xdr:from>
    <xdr:ext cx="123825" cy="940252"/>
    <xdr:sp macro="" textlink="">
      <xdr:nvSpPr>
        <xdr:cNvPr id="2206" name="Text Box 200">
          <a:extLst>
            <a:ext uri="{FF2B5EF4-FFF2-40B4-BE49-F238E27FC236}">
              <a16:creationId xmlns:a16="http://schemas.microsoft.com/office/drawing/2014/main" id="{00000000-0008-0000-0F00-00009E08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3</xdr:row>
      <xdr:rowOff>0</xdr:rowOff>
    </xdr:from>
    <xdr:ext cx="123825" cy="940252"/>
    <xdr:sp macro="" textlink="">
      <xdr:nvSpPr>
        <xdr:cNvPr id="2207" name="Text Box 201">
          <a:extLst>
            <a:ext uri="{FF2B5EF4-FFF2-40B4-BE49-F238E27FC236}">
              <a16:creationId xmlns:a16="http://schemas.microsoft.com/office/drawing/2014/main" id="{00000000-0008-0000-0F00-00009F08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3</xdr:row>
      <xdr:rowOff>0</xdr:rowOff>
    </xdr:from>
    <xdr:ext cx="123825" cy="940252"/>
    <xdr:sp macro="" textlink="">
      <xdr:nvSpPr>
        <xdr:cNvPr id="2208" name="Text Box 202">
          <a:extLst>
            <a:ext uri="{FF2B5EF4-FFF2-40B4-BE49-F238E27FC236}">
              <a16:creationId xmlns:a16="http://schemas.microsoft.com/office/drawing/2014/main" id="{00000000-0008-0000-0F00-0000A008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3</xdr:row>
      <xdr:rowOff>0</xdr:rowOff>
    </xdr:from>
    <xdr:ext cx="123825" cy="940252"/>
    <xdr:sp macro="" textlink="">
      <xdr:nvSpPr>
        <xdr:cNvPr id="2209" name="Text Box 203">
          <a:extLst>
            <a:ext uri="{FF2B5EF4-FFF2-40B4-BE49-F238E27FC236}">
              <a16:creationId xmlns:a16="http://schemas.microsoft.com/office/drawing/2014/main" id="{00000000-0008-0000-0F00-0000A108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3</xdr:row>
      <xdr:rowOff>0</xdr:rowOff>
    </xdr:from>
    <xdr:ext cx="123825" cy="940252"/>
    <xdr:sp macro="" textlink="">
      <xdr:nvSpPr>
        <xdr:cNvPr id="2210" name="Text Box 204">
          <a:extLst>
            <a:ext uri="{FF2B5EF4-FFF2-40B4-BE49-F238E27FC236}">
              <a16:creationId xmlns:a16="http://schemas.microsoft.com/office/drawing/2014/main" id="{00000000-0008-0000-0F00-0000A208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3</xdr:row>
      <xdr:rowOff>0</xdr:rowOff>
    </xdr:from>
    <xdr:ext cx="114300" cy="1054552"/>
    <xdr:sp macro="" textlink="">
      <xdr:nvSpPr>
        <xdr:cNvPr id="2211" name="Text Box 205">
          <a:extLst>
            <a:ext uri="{FF2B5EF4-FFF2-40B4-BE49-F238E27FC236}">
              <a16:creationId xmlns:a16="http://schemas.microsoft.com/office/drawing/2014/main" id="{00000000-0008-0000-0F00-0000A3080000}"/>
            </a:ext>
          </a:extLst>
        </xdr:cNvPr>
        <xdr:cNvSpPr txBox="1">
          <a:spLocks noChangeArrowheads="1"/>
        </xdr:cNvSpPr>
      </xdr:nvSpPr>
      <xdr:spPr bwMode="auto">
        <a:xfrm>
          <a:off x="4286250" y="4921250"/>
          <a:ext cx="114300" cy="1054552"/>
        </a:xfrm>
        <a:prstGeom prst="rect">
          <a:avLst/>
        </a:prstGeom>
        <a:noFill/>
        <a:ln w="9525">
          <a:noFill/>
          <a:miter lim="800000"/>
          <a:headEnd/>
          <a:tailEnd/>
        </a:ln>
      </xdr:spPr>
    </xdr:sp>
    <xdr:clientData/>
  </xdr:oneCellAnchor>
  <xdr:oneCellAnchor>
    <xdr:from>
      <xdr:col>7</xdr:col>
      <xdr:colOff>0</xdr:colOff>
      <xdr:row>3</xdr:row>
      <xdr:rowOff>0</xdr:rowOff>
    </xdr:from>
    <xdr:ext cx="114300" cy="1054552"/>
    <xdr:sp macro="" textlink="">
      <xdr:nvSpPr>
        <xdr:cNvPr id="2212" name="Text Box 206">
          <a:extLst>
            <a:ext uri="{FF2B5EF4-FFF2-40B4-BE49-F238E27FC236}">
              <a16:creationId xmlns:a16="http://schemas.microsoft.com/office/drawing/2014/main" id="{00000000-0008-0000-0F00-0000A4080000}"/>
            </a:ext>
          </a:extLst>
        </xdr:cNvPr>
        <xdr:cNvSpPr txBox="1">
          <a:spLocks noChangeArrowheads="1"/>
        </xdr:cNvSpPr>
      </xdr:nvSpPr>
      <xdr:spPr bwMode="auto">
        <a:xfrm>
          <a:off x="4286250" y="4921250"/>
          <a:ext cx="114300" cy="1054552"/>
        </a:xfrm>
        <a:prstGeom prst="rect">
          <a:avLst/>
        </a:prstGeom>
        <a:noFill/>
        <a:ln w="9525">
          <a:noFill/>
          <a:miter lim="800000"/>
          <a:headEnd/>
          <a:tailEnd/>
        </a:ln>
      </xdr:spPr>
    </xdr:sp>
    <xdr:clientData/>
  </xdr:oneCellAnchor>
  <xdr:oneCellAnchor>
    <xdr:from>
      <xdr:col>7</xdr:col>
      <xdr:colOff>0</xdr:colOff>
      <xdr:row>3</xdr:row>
      <xdr:rowOff>0</xdr:rowOff>
    </xdr:from>
    <xdr:ext cx="123825" cy="1054552"/>
    <xdr:sp macro="" textlink="">
      <xdr:nvSpPr>
        <xdr:cNvPr id="2213" name="Text Box 207">
          <a:extLst>
            <a:ext uri="{FF2B5EF4-FFF2-40B4-BE49-F238E27FC236}">
              <a16:creationId xmlns:a16="http://schemas.microsoft.com/office/drawing/2014/main" id="{00000000-0008-0000-0F00-0000A508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3</xdr:row>
      <xdr:rowOff>0</xdr:rowOff>
    </xdr:from>
    <xdr:ext cx="123825" cy="1054552"/>
    <xdr:sp macro="" textlink="">
      <xdr:nvSpPr>
        <xdr:cNvPr id="2214" name="Text Box 208">
          <a:extLst>
            <a:ext uri="{FF2B5EF4-FFF2-40B4-BE49-F238E27FC236}">
              <a16:creationId xmlns:a16="http://schemas.microsoft.com/office/drawing/2014/main" id="{00000000-0008-0000-0F00-0000A608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3</xdr:row>
      <xdr:rowOff>0</xdr:rowOff>
    </xdr:from>
    <xdr:ext cx="123825" cy="1054552"/>
    <xdr:sp macro="" textlink="">
      <xdr:nvSpPr>
        <xdr:cNvPr id="2215" name="Text Box 209">
          <a:extLst>
            <a:ext uri="{FF2B5EF4-FFF2-40B4-BE49-F238E27FC236}">
              <a16:creationId xmlns:a16="http://schemas.microsoft.com/office/drawing/2014/main" id="{00000000-0008-0000-0F00-0000A708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3</xdr:row>
      <xdr:rowOff>0</xdr:rowOff>
    </xdr:from>
    <xdr:ext cx="123825" cy="1054552"/>
    <xdr:sp macro="" textlink="">
      <xdr:nvSpPr>
        <xdr:cNvPr id="2216" name="Text Box 210">
          <a:extLst>
            <a:ext uri="{FF2B5EF4-FFF2-40B4-BE49-F238E27FC236}">
              <a16:creationId xmlns:a16="http://schemas.microsoft.com/office/drawing/2014/main" id="{00000000-0008-0000-0F00-0000A8080000}"/>
            </a:ext>
          </a:extLst>
        </xdr:cNvPr>
        <xdr:cNvSpPr txBox="1">
          <a:spLocks noChangeArrowheads="1"/>
        </xdr:cNvSpPr>
      </xdr:nvSpPr>
      <xdr:spPr bwMode="auto">
        <a:xfrm>
          <a:off x="4286250" y="4921250"/>
          <a:ext cx="123825" cy="1054552"/>
        </a:xfrm>
        <a:prstGeom prst="rect">
          <a:avLst/>
        </a:prstGeom>
        <a:noFill/>
        <a:ln w="9525">
          <a:noFill/>
          <a:miter lim="800000"/>
          <a:headEnd/>
          <a:tailEnd/>
        </a:ln>
      </xdr:spPr>
    </xdr:sp>
    <xdr:clientData/>
  </xdr:oneCellAnchor>
  <xdr:oneCellAnchor>
    <xdr:from>
      <xdr:col>7</xdr:col>
      <xdr:colOff>0</xdr:colOff>
      <xdr:row>3</xdr:row>
      <xdr:rowOff>0</xdr:rowOff>
    </xdr:from>
    <xdr:ext cx="123825" cy="940252"/>
    <xdr:sp macro="" textlink="">
      <xdr:nvSpPr>
        <xdr:cNvPr id="2217" name="Text Box 211">
          <a:extLst>
            <a:ext uri="{FF2B5EF4-FFF2-40B4-BE49-F238E27FC236}">
              <a16:creationId xmlns:a16="http://schemas.microsoft.com/office/drawing/2014/main" id="{00000000-0008-0000-0F00-0000A908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3</xdr:row>
      <xdr:rowOff>0</xdr:rowOff>
    </xdr:from>
    <xdr:ext cx="123825" cy="940252"/>
    <xdr:sp macro="" textlink="">
      <xdr:nvSpPr>
        <xdr:cNvPr id="2218" name="Text Box 212">
          <a:extLst>
            <a:ext uri="{FF2B5EF4-FFF2-40B4-BE49-F238E27FC236}">
              <a16:creationId xmlns:a16="http://schemas.microsoft.com/office/drawing/2014/main" id="{00000000-0008-0000-0F00-0000AA08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3</xdr:row>
      <xdr:rowOff>0</xdr:rowOff>
    </xdr:from>
    <xdr:ext cx="123825" cy="940252"/>
    <xdr:sp macro="" textlink="">
      <xdr:nvSpPr>
        <xdr:cNvPr id="2219" name="Text Box 213">
          <a:extLst>
            <a:ext uri="{FF2B5EF4-FFF2-40B4-BE49-F238E27FC236}">
              <a16:creationId xmlns:a16="http://schemas.microsoft.com/office/drawing/2014/main" id="{00000000-0008-0000-0F00-0000AB08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3</xdr:row>
      <xdr:rowOff>0</xdr:rowOff>
    </xdr:from>
    <xdr:ext cx="123825" cy="940252"/>
    <xdr:sp macro="" textlink="">
      <xdr:nvSpPr>
        <xdr:cNvPr id="2220" name="Text Box 214">
          <a:extLst>
            <a:ext uri="{FF2B5EF4-FFF2-40B4-BE49-F238E27FC236}">
              <a16:creationId xmlns:a16="http://schemas.microsoft.com/office/drawing/2014/main" id="{00000000-0008-0000-0F00-0000AC080000}"/>
            </a:ext>
          </a:extLst>
        </xdr:cNvPr>
        <xdr:cNvSpPr txBox="1">
          <a:spLocks noChangeArrowheads="1"/>
        </xdr:cNvSpPr>
      </xdr:nvSpPr>
      <xdr:spPr bwMode="auto">
        <a:xfrm>
          <a:off x="4286250" y="4921250"/>
          <a:ext cx="123825" cy="940252"/>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21" name="Text Box 197">
          <a:extLst>
            <a:ext uri="{FF2B5EF4-FFF2-40B4-BE49-F238E27FC236}">
              <a16:creationId xmlns:a16="http://schemas.microsoft.com/office/drawing/2014/main" id="{00000000-0008-0000-0F00-0000AD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22" name="Text Box 198">
          <a:extLst>
            <a:ext uri="{FF2B5EF4-FFF2-40B4-BE49-F238E27FC236}">
              <a16:creationId xmlns:a16="http://schemas.microsoft.com/office/drawing/2014/main" id="{00000000-0008-0000-0F00-0000AE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23" name="Text Box 199">
          <a:extLst>
            <a:ext uri="{FF2B5EF4-FFF2-40B4-BE49-F238E27FC236}">
              <a16:creationId xmlns:a16="http://schemas.microsoft.com/office/drawing/2014/main" id="{00000000-0008-0000-0F00-0000AF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24" name="Text Box 200">
          <a:extLst>
            <a:ext uri="{FF2B5EF4-FFF2-40B4-BE49-F238E27FC236}">
              <a16:creationId xmlns:a16="http://schemas.microsoft.com/office/drawing/2014/main" id="{00000000-0008-0000-0F00-0000B0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25" name="Text Box 201">
          <a:extLst>
            <a:ext uri="{FF2B5EF4-FFF2-40B4-BE49-F238E27FC236}">
              <a16:creationId xmlns:a16="http://schemas.microsoft.com/office/drawing/2014/main" id="{00000000-0008-0000-0F00-0000B1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26" name="Text Box 202">
          <a:extLst>
            <a:ext uri="{FF2B5EF4-FFF2-40B4-BE49-F238E27FC236}">
              <a16:creationId xmlns:a16="http://schemas.microsoft.com/office/drawing/2014/main" id="{00000000-0008-0000-0F00-0000B2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27" name="Text Box 203">
          <a:extLst>
            <a:ext uri="{FF2B5EF4-FFF2-40B4-BE49-F238E27FC236}">
              <a16:creationId xmlns:a16="http://schemas.microsoft.com/office/drawing/2014/main" id="{00000000-0008-0000-0F00-0000B3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28" name="Text Box 204">
          <a:extLst>
            <a:ext uri="{FF2B5EF4-FFF2-40B4-BE49-F238E27FC236}">
              <a16:creationId xmlns:a16="http://schemas.microsoft.com/office/drawing/2014/main" id="{00000000-0008-0000-0F00-0000B4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14300" cy="945696"/>
    <xdr:sp macro="" textlink="">
      <xdr:nvSpPr>
        <xdr:cNvPr id="2229" name="Text Box 205">
          <a:extLst>
            <a:ext uri="{FF2B5EF4-FFF2-40B4-BE49-F238E27FC236}">
              <a16:creationId xmlns:a16="http://schemas.microsoft.com/office/drawing/2014/main" id="{00000000-0008-0000-0F00-0000B508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4</xdr:row>
      <xdr:rowOff>0</xdr:rowOff>
    </xdr:from>
    <xdr:ext cx="114300" cy="945696"/>
    <xdr:sp macro="" textlink="">
      <xdr:nvSpPr>
        <xdr:cNvPr id="2230" name="Text Box 206">
          <a:extLst>
            <a:ext uri="{FF2B5EF4-FFF2-40B4-BE49-F238E27FC236}">
              <a16:creationId xmlns:a16="http://schemas.microsoft.com/office/drawing/2014/main" id="{00000000-0008-0000-0F00-0000B608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4</xdr:row>
      <xdr:rowOff>0</xdr:rowOff>
    </xdr:from>
    <xdr:ext cx="123825" cy="945696"/>
    <xdr:sp macro="" textlink="">
      <xdr:nvSpPr>
        <xdr:cNvPr id="2231" name="Text Box 207">
          <a:extLst>
            <a:ext uri="{FF2B5EF4-FFF2-40B4-BE49-F238E27FC236}">
              <a16:creationId xmlns:a16="http://schemas.microsoft.com/office/drawing/2014/main" id="{00000000-0008-0000-0F00-0000B7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4</xdr:row>
      <xdr:rowOff>0</xdr:rowOff>
    </xdr:from>
    <xdr:ext cx="123825" cy="945696"/>
    <xdr:sp macro="" textlink="">
      <xdr:nvSpPr>
        <xdr:cNvPr id="2232" name="Text Box 208">
          <a:extLst>
            <a:ext uri="{FF2B5EF4-FFF2-40B4-BE49-F238E27FC236}">
              <a16:creationId xmlns:a16="http://schemas.microsoft.com/office/drawing/2014/main" id="{00000000-0008-0000-0F00-0000B8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4</xdr:row>
      <xdr:rowOff>0</xdr:rowOff>
    </xdr:from>
    <xdr:ext cx="123825" cy="945696"/>
    <xdr:sp macro="" textlink="">
      <xdr:nvSpPr>
        <xdr:cNvPr id="2233" name="Text Box 209">
          <a:extLst>
            <a:ext uri="{FF2B5EF4-FFF2-40B4-BE49-F238E27FC236}">
              <a16:creationId xmlns:a16="http://schemas.microsoft.com/office/drawing/2014/main" id="{00000000-0008-0000-0F00-0000B9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4</xdr:row>
      <xdr:rowOff>0</xdr:rowOff>
    </xdr:from>
    <xdr:ext cx="123825" cy="945696"/>
    <xdr:sp macro="" textlink="">
      <xdr:nvSpPr>
        <xdr:cNvPr id="2234" name="Text Box 210">
          <a:extLst>
            <a:ext uri="{FF2B5EF4-FFF2-40B4-BE49-F238E27FC236}">
              <a16:creationId xmlns:a16="http://schemas.microsoft.com/office/drawing/2014/main" id="{00000000-0008-0000-0F00-0000BA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35" name="Text Box 211">
          <a:extLst>
            <a:ext uri="{FF2B5EF4-FFF2-40B4-BE49-F238E27FC236}">
              <a16:creationId xmlns:a16="http://schemas.microsoft.com/office/drawing/2014/main" id="{00000000-0008-0000-0F00-0000BB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36" name="Text Box 212">
          <a:extLst>
            <a:ext uri="{FF2B5EF4-FFF2-40B4-BE49-F238E27FC236}">
              <a16:creationId xmlns:a16="http://schemas.microsoft.com/office/drawing/2014/main" id="{00000000-0008-0000-0F00-0000BC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37" name="Text Box 213">
          <a:extLst>
            <a:ext uri="{FF2B5EF4-FFF2-40B4-BE49-F238E27FC236}">
              <a16:creationId xmlns:a16="http://schemas.microsoft.com/office/drawing/2014/main" id="{00000000-0008-0000-0F00-0000BD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38" name="Text Box 214">
          <a:extLst>
            <a:ext uri="{FF2B5EF4-FFF2-40B4-BE49-F238E27FC236}">
              <a16:creationId xmlns:a16="http://schemas.microsoft.com/office/drawing/2014/main" id="{00000000-0008-0000-0F00-0000BE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3</xdr:row>
      <xdr:rowOff>0</xdr:rowOff>
    </xdr:from>
    <xdr:ext cx="123825" cy="936171"/>
    <xdr:sp macro="" textlink="">
      <xdr:nvSpPr>
        <xdr:cNvPr id="2239" name="Text Box 197">
          <a:extLst>
            <a:ext uri="{FF2B5EF4-FFF2-40B4-BE49-F238E27FC236}">
              <a16:creationId xmlns:a16="http://schemas.microsoft.com/office/drawing/2014/main" id="{00000000-0008-0000-0F00-0000BF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3</xdr:row>
      <xdr:rowOff>0</xdr:rowOff>
    </xdr:from>
    <xdr:ext cx="123825" cy="936171"/>
    <xdr:sp macro="" textlink="">
      <xdr:nvSpPr>
        <xdr:cNvPr id="2240" name="Text Box 198">
          <a:extLst>
            <a:ext uri="{FF2B5EF4-FFF2-40B4-BE49-F238E27FC236}">
              <a16:creationId xmlns:a16="http://schemas.microsoft.com/office/drawing/2014/main" id="{00000000-0008-0000-0F00-0000C0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3</xdr:row>
      <xdr:rowOff>0</xdr:rowOff>
    </xdr:from>
    <xdr:ext cx="123825" cy="936171"/>
    <xdr:sp macro="" textlink="">
      <xdr:nvSpPr>
        <xdr:cNvPr id="2241" name="Text Box 199">
          <a:extLst>
            <a:ext uri="{FF2B5EF4-FFF2-40B4-BE49-F238E27FC236}">
              <a16:creationId xmlns:a16="http://schemas.microsoft.com/office/drawing/2014/main" id="{00000000-0008-0000-0F00-0000C1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3</xdr:row>
      <xdr:rowOff>0</xdr:rowOff>
    </xdr:from>
    <xdr:ext cx="123825" cy="936171"/>
    <xdr:sp macro="" textlink="">
      <xdr:nvSpPr>
        <xdr:cNvPr id="2242" name="Text Box 200">
          <a:extLst>
            <a:ext uri="{FF2B5EF4-FFF2-40B4-BE49-F238E27FC236}">
              <a16:creationId xmlns:a16="http://schemas.microsoft.com/office/drawing/2014/main" id="{00000000-0008-0000-0F00-0000C2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3</xdr:row>
      <xdr:rowOff>0</xdr:rowOff>
    </xdr:from>
    <xdr:ext cx="123825" cy="936171"/>
    <xdr:sp macro="" textlink="">
      <xdr:nvSpPr>
        <xdr:cNvPr id="2243" name="Text Box 201">
          <a:extLst>
            <a:ext uri="{FF2B5EF4-FFF2-40B4-BE49-F238E27FC236}">
              <a16:creationId xmlns:a16="http://schemas.microsoft.com/office/drawing/2014/main" id="{00000000-0008-0000-0F00-0000C3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3</xdr:row>
      <xdr:rowOff>0</xdr:rowOff>
    </xdr:from>
    <xdr:ext cx="123825" cy="936171"/>
    <xdr:sp macro="" textlink="">
      <xdr:nvSpPr>
        <xdr:cNvPr id="2244" name="Text Box 202">
          <a:extLst>
            <a:ext uri="{FF2B5EF4-FFF2-40B4-BE49-F238E27FC236}">
              <a16:creationId xmlns:a16="http://schemas.microsoft.com/office/drawing/2014/main" id="{00000000-0008-0000-0F00-0000C4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3</xdr:row>
      <xdr:rowOff>0</xdr:rowOff>
    </xdr:from>
    <xdr:ext cx="123825" cy="936171"/>
    <xdr:sp macro="" textlink="">
      <xdr:nvSpPr>
        <xdr:cNvPr id="2245" name="Text Box 203">
          <a:extLst>
            <a:ext uri="{FF2B5EF4-FFF2-40B4-BE49-F238E27FC236}">
              <a16:creationId xmlns:a16="http://schemas.microsoft.com/office/drawing/2014/main" id="{00000000-0008-0000-0F00-0000C5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3</xdr:row>
      <xdr:rowOff>0</xdr:rowOff>
    </xdr:from>
    <xdr:ext cx="123825" cy="936171"/>
    <xdr:sp macro="" textlink="">
      <xdr:nvSpPr>
        <xdr:cNvPr id="2246" name="Text Box 204">
          <a:extLst>
            <a:ext uri="{FF2B5EF4-FFF2-40B4-BE49-F238E27FC236}">
              <a16:creationId xmlns:a16="http://schemas.microsoft.com/office/drawing/2014/main" id="{00000000-0008-0000-0F00-0000C6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3</xdr:row>
      <xdr:rowOff>0</xdr:rowOff>
    </xdr:from>
    <xdr:ext cx="114300" cy="1050471"/>
    <xdr:sp macro="" textlink="">
      <xdr:nvSpPr>
        <xdr:cNvPr id="2247" name="Text Box 205">
          <a:extLst>
            <a:ext uri="{FF2B5EF4-FFF2-40B4-BE49-F238E27FC236}">
              <a16:creationId xmlns:a16="http://schemas.microsoft.com/office/drawing/2014/main" id="{00000000-0008-0000-0F00-0000C7080000}"/>
            </a:ext>
          </a:extLst>
        </xdr:cNvPr>
        <xdr:cNvSpPr txBox="1">
          <a:spLocks noChangeArrowheads="1"/>
        </xdr:cNvSpPr>
      </xdr:nvSpPr>
      <xdr:spPr bwMode="auto">
        <a:xfrm>
          <a:off x="4286250" y="4921250"/>
          <a:ext cx="114300" cy="1050471"/>
        </a:xfrm>
        <a:prstGeom prst="rect">
          <a:avLst/>
        </a:prstGeom>
        <a:noFill/>
        <a:ln w="9525">
          <a:noFill/>
          <a:miter lim="800000"/>
          <a:headEnd/>
          <a:tailEnd/>
        </a:ln>
      </xdr:spPr>
    </xdr:sp>
    <xdr:clientData/>
  </xdr:oneCellAnchor>
  <xdr:oneCellAnchor>
    <xdr:from>
      <xdr:col>7</xdr:col>
      <xdr:colOff>0</xdr:colOff>
      <xdr:row>3</xdr:row>
      <xdr:rowOff>0</xdr:rowOff>
    </xdr:from>
    <xdr:ext cx="114300" cy="1050471"/>
    <xdr:sp macro="" textlink="">
      <xdr:nvSpPr>
        <xdr:cNvPr id="2248" name="Text Box 206">
          <a:extLst>
            <a:ext uri="{FF2B5EF4-FFF2-40B4-BE49-F238E27FC236}">
              <a16:creationId xmlns:a16="http://schemas.microsoft.com/office/drawing/2014/main" id="{00000000-0008-0000-0F00-0000C8080000}"/>
            </a:ext>
          </a:extLst>
        </xdr:cNvPr>
        <xdr:cNvSpPr txBox="1">
          <a:spLocks noChangeArrowheads="1"/>
        </xdr:cNvSpPr>
      </xdr:nvSpPr>
      <xdr:spPr bwMode="auto">
        <a:xfrm>
          <a:off x="4286250" y="4921250"/>
          <a:ext cx="114300" cy="1050471"/>
        </a:xfrm>
        <a:prstGeom prst="rect">
          <a:avLst/>
        </a:prstGeom>
        <a:noFill/>
        <a:ln w="9525">
          <a:noFill/>
          <a:miter lim="800000"/>
          <a:headEnd/>
          <a:tailEnd/>
        </a:ln>
      </xdr:spPr>
    </xdr:sp>
    <xdr:clientData/>
  </xdr:oneCellAnchor>
  <xdr:oneCellAnchor>
    <xdr:from>
      <xdr:col>7</xdr:col>
      <xdr:colOff>0</xdr:colOff>
      <xdr:row>3</xdr:row>
      <xdr:rowOff>0</xdr:rowOff>
    </xdr:from>
    <xdr:ext cx="123825" cy="1050471"/>
    <xdr:sp macro="" textlink="">
      <xdr:nvSpPr>
        <xdr:cNvPr id="2249" name="Text Box 207">
          <a:extLst>
            <a:ext uri="{FF2B5EF4-FFF2-40B4-BE49-F238E27FC236}">
              <a16:creationId xmlns:a16="http://schemas.microsoft.com/office/drawing/2014/main" id="{00000000-0008-0000-0F00-0000C908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3</xdr:row>
      <xdr:rowOff>0</xdr:rowOff>
    </xdr:from>
    <xdr:ext cx="123825" cy="1050471"/>
    <xdr:sp macro="" textlink="">
      <xdr:nvSpPr>
        <xdr:cNvPr id="2250" name="Text Box 208">
          <a:extLst>
            <a:ext uri="{FF2B5EF4-FFF2-40B4-BE49-F238E27FC236}">
              <a16:creationId xmlns:a16="http://schemas.microsoft.com/office/drawing/2014/main" id="{00000000-0008-0000-0F00-0000CA08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3</xdr:row>
      <xdr:rowOff>0</xdr:rowOff>
    </xdr:from>
    <xdr:ext cx="123825" cy="1050471"/>
    <xdr:sp macro="" textlink="">
      <xdr:nvSpPr>
        <xdr:cNvPr id="2251" name="Text Box 209">
          <a:extLst>
            <a:ext uri="{FF2B5EF4-FFF2-40B4-BE49-F238E27FC236}">
              <a16:creationId xmlns:a16="http://schemas.microsoft.com/office/drawing/2014/main" id="{00000000-0008-0000-0F00-0000CB08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3</xdr:row>
      <xdr:rowOff>0</xdr:rowOff>
    </xdr:from>
    <xdr:ext cx="123825" cy="1050471"/>
    <xdr:sp macro="" textlink="">
      <xdr:nvSpPr>
        <xdr:cNvPr id="2252" name="Text Box 210">
          <a:extLst>
            <a:ext uri="{FF2B5EF4-FFF2-40B4-BE49-F238E27FC236}">
              <a16:creationId xmlns:a16="http://schemas.microsoft.com/office/drawing/2014/main" id="{00000000-0008-0000-0F00-0000CC080000}"/>
            </a:ext>
          </a:extLst>
        </xdr:cNvPr>
        <xdr:cNvSpPr txBox="1">
          <a:spLocks noChangeArrowheads="1"/>
        </xdr:cNvSpPr>
      </xdr:nvSpPr>
      <xdr:spPr bwMode="auto">
        <a:xfrm>
          <a:off x="4286250" y="4921250"/>
          <a:ext cx="123825" cy="1050471"/>
        </a:xfrm>
        <a:prstGeom prst="rect">
          <a:avLst/>
        </a:prstGeom>
        <a:noFill/>
        <a:ln w="9525">
          <a:noFill/>
          <a:miter lim="800000"/>
          <a:headEnd/>
          <a:tailEnd/>
        </a:ln>
      </xdr:spPr>
    </xdr:sp>
    <xdr:clientData/>
  </xdr:oneCellAnchor>
  <xdr:oneCellAnchor>
    <xdr:from>
      <xdr:col>7</xdr:col>
      <xdr:colOff>0</xdr:colOff>
      <xdr:row>3</xdr:row>
      <xdr:rowOff>0</xdr:rowOff>
    </xdr:from>
    <xdr:ext cx="123825" cy="936171"/>
    <xdr:sp macro="" textlink="">
      <xdr:nvSpPr>
        <xdr:cNvPr id="2253" name="Text Box 211">
          <a:extLst>
            <a:ext uri="{FF2B5EF4-FFF2-40B4-BE49-F238E27FC236}">
              <a16:creationId xmlns:a16="http://schemas.microsoft.com/office/drawing/2014/main" id="{00000000-0008-0000-0F00-0000CD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3</xdr:row>
      <xdr:rowOff>0</xdr:rowOff>
    </xdr:from>
    <xdr:ext cx="123825" cy="936171"/>
    <xdr:sp macro="" textlink="">
      <xdr:nvSpPr>
        <xdr:cNvPr id="2254" name="Text Box 212">
          <a:extLst>
            <a:ext uri="{FF2B5EF4-FFF2-40B4-BE49-F238E27FC236}">
              <a16:creationId xmlns:a16="http://schemas.microsoft.com/office/drawing/2014/main" id="{00000000-0008-0000-0F00-0000CE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3</xdr:row>
      <xdr:rowOff>0</xdr:rowOff>
    </xdr:from>
    <xdr:ext cx="123825" cy="936171"/>
    <xdr:sp macro="" textlink="">
      <xdr:nvSpPr>
        <xdr:cNvPr id="2255" name="Text Box 213">
          <a:extLst>
            <a:ext uri="{FF2B5EF4-FFF2-40B4-BE49-F238E27FC236}">
              <a16:creationId xmlns:a16="http://schemas.microsoft.com/office/drawing/2014/main" id="{00000000-0008-0000-0F00-0000CF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3</xdr:row>
      <xdr:rowOff>0</xdr:rowOff>
    </xdr:from>
    <xdr:ext cx="123825" cy="936171"/>
    <xdr:sp macro="" textlink="">
      <xdr:nvSpPr>
        <xdr:cNvPr id="2256" name="Text Box 214">
          <a:extLst>
            <a:ext uri="{FF2B5EF4-FFF2-40B4-BE49-F238E27FC236}">
              <a16:creationId xmlns:a16="http://schemas.microsoft.com/office/drawing/2014/main" id="{00000000-0008-0000-0F00-0000D0080000}"/>
            </a:ext>
          </a:extLst>
        </xdr:cNvPr>
        <xdr:cNvSpPr txBox="1">
          <a:spLocks noChangeArrowheads="1"/>
        </xdr:cNvSpPr>
      </xdr:nvSpPr>
      <xdr:spPr bwMode="auto">
        <a:xfrm>
          <a:off x="4286250" y="4921250"/>
          <a:ext cx="123825" cy="936171"/>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57" name="Text Box 197">
          <a:extLst>
            <a:ext uri="{FF2B5EF4-FFF2-40B4-BE49-F238E27FC236}">
              <a16:creationId xmlns:a16="http://schemas.microsoft.com/office/drawing/2014/main" id="{00000000-0008-0000-0F00-0000D1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58" name="Text Box 198">
          <a:extLst>
            <a:ext uri="{FF2B5EF4-FFF2-40B4-BE49-F238E27FC236}">
              <a16:creationId xmlns:a16="http://schemas.microsoft.com/office/drawing/2014/main" id="{00000000-0008-0000-0F00-0000D2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59" name="Text Box 199">
          <a:extLst>
            <a:ext uri="{FF2B5EF4-FFF2-40B4-BE49-F238E27FC236}">
              <a16:creationId xmlns:a16="http://schemas.microsoft.com/office/drawing/2014/main" id="{00000000-0008-0000-0F00-0000D3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60" name="Text Box 200">
          <a:extLst>
            <a:ext uri="{FF2B5EF4-FFF2-40B4-BE49-F238E27FC236}">
              <a16:creationId xmlns:a16="http://schemas.microsoft.com/office/drawing/2014/main" id="{00000000-0008-0000-0F00-0000D4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61" name="Text Box 201">
          <a:extLst>
            <a:ext uri="{FF2B5EF4-FFF2-40B4-BE49-F238E27FC236}">
              <a16:creationId xmlns:a16="http://schemas.microsoft.com/office/drawing/2014/main" id="{00000000-0008-0000-0F00-0000D5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62" name="Text Box 202">
          <a:extLst>
            <a:ext uri="{FF2B5EF4-FFF2-40B4-BE49-F238E27FC236}">
              <a16:creationId xmlns:a16="http://schemas.microsoft.com/office/drawing/2014/main" id="{00000000-0008-0000-0F00-0000D6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63" name="Text Box 203">
          <a:extLst>
            <a:ext uri="{FF2B5EF4-FFF2-40B4-BE49-F238E27FC236}">
              <a16:creationId xmlns:a16="http://schemas.microsoft.com/office/drawing/2014/main" id="{00000000-0008-0000-0F00-0000D7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64" name="Text Box 204">
          <a:extLst>
            <a:ext uri="{FF2B5EF4-FFF2-40B4-BE49-F238E27FC236}">
              <a16:creationId xmlns:a16="http://schemas.microsoft.com/office/drawing/2014/main" id="{00000000-0008-0000-0F00-0000D8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14300" cy="945696"/>
    <xdr:sp macro="" textlink="">
      <xdr:nvSpPr>
        <xdr:cNvPr id="2265" name="Text Box 205">
          <a:extLst>
            <a:ext uri="{FF2B5EF4-FFF2-40B4-BE49-F238E27FC236}">
              <a16:creationId xmlns:a16="http://schemas.microsoft.com/office/drawing/2014/main" id="{00000000-0008-0000-0F00-0000D908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4</xdr:row>
      <xdr:rowOff>0</xdr:rowOff>
    </xdr:from>
    <xdr:ext cx="114300" cy="945696"/>
    <xdr:sp macro="" textlink="">
      <xdr:nvSpPr>
        <xdr:cNvPr id="2266" name="Text Box 206">
          <a:extLst>
            <a:ext uri="{FF2B5EF4-FFF2-40B4-BE49-F238E27FC236}">
              <a16:creationId xmlns:a16="http://schemas.microsoft.com/office/drawing/2014/main" id="{00000000-0008-0000-0F00-0000DA080000}"/>
            </a:ext>
          </a:extLst>
        </xdr:cNvPr>
        <xdr:cNvSpPr txBox="1">
          <a:spLocks noChangeArrowheads="1"/>
        </xdr:cNvSpPr>
      </xdr:nvSpPr>
      <xdr:spPr bwMode="auto">
        <a:xfrm>
          <a:off x="4286250" y="5355167"/>
          <a:ext cx="114300" cy="945696"/>
        </a:xfrm>
        <a:prstGeom prst="rect">
          <a:avLst/>
        </a:prstGeom>
        <a:noFill/>
        <a:ln w="9525">
          <a:noFill/>
          <a:miter lim="800000"/>
          <a:headEnd/>
          <a:tailEnd/>
        </a:ln>
      </xdr:spPr>
    </xdr:sp>
    <xdr:clientData/>
  </xdr:oneCellAnchor>
  <xdr:oneCellAnchor>
    <xdr:from>
      <xdr:col>7</xdr:col>
      <xdr:colOff>0</xdr:colOff>
      <xdr:row>4</xdr:row>
      <xdr:rowOff>0</xdr:rowOff>
    </xdr:from>
    <xdr:ext cx="123825" cy="945696"/>
    <xdr:sp macro="" textlink="">
      <xdr:nvSpPr>
        <xdr:cNvPr id="2267" name="Text Box 207">
          <a:extLst>
            <a:ext uri="{FF2B5EF4-FFF2-40B4-BE49-F238E27FC236}">
              <a16:creationId xmlns:a16="http://schemas.microsoft.com/office/drawing/2014/main" id="{00000000-0008-0000-0F00-0000DB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4</xdr:row>
      <xdr:rowOff>0</xdr:rowOff>
    </xdr:from>
    <xdr:ext cx="123825" cy="945696"/>
    <xdr:sp macro="" textlink="">
      <xdr:nvSpPr>
        <xdr:cNvPr id="2268" name="Text Box 208">
          <a:extLst>
            <a:ext uri="{FF2B5EF4-FFF2-40B4-BE49-F238E27FC236}">
              <a16:creationId xmlns:a16="http://schemas.microsoft.com/office/drawing/2014/main" id="{00000000-0008-0000-0F00-0000DC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4</xdr:row>
      <xdr:rowOff>0</xdr:rowOff>
    </xdr:from>
    <xdr:ext cx="123825" cy="945696"/>
    <xdr:sp macro="" textlink="">
      <xdr:nvSpPr>
        <xdr:cNvPr id="2269" name="Text Box 209">
          <a:extLst>
            <a:ext uri="{FF2B5EF4-FFF2-40B4-BE49-F238E27FC236}">
              <a16:creationId xmlns:a16="http://schemas.microsoft.com/office/drawing/2014/main" id="{00000000-0008-0000-0F00-0000DD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4</xdr:row>
      <xdr:rowOff>0</xdr:rowOff>
    </xdr:from>
    <xdr:ext cx="123825" cy="945696"/>
    <xdr:sp macro="" textlink="">
      <xdr:nvSpPr>
        <xdr:cNvPr id="2270" name="Text Box 210">
          <a:extLst>
            <a:ext uri="{FF2B5EF4-FFF2-40B4-BE49-F238E27FC236}">
              <a16:creationId xmlns:a16="http://schemas.microsoft.com/office/drawing/2014/main" id="{00000000-0008-0000-0F00-0000DE080000}"/>
            </a:ext>
          </a:extLst>
        </xdr:cNvPr>
        <xdr:cNvSpPr txBox="1">
          <a:spLocks noChangeArrowheads="1"/>
        </xdr:cNvSpPr>
      </xdr:nvSpPr>
      <xdr:spPr bwMode="auto">
        <a:xfrm>
          <a:off x="4286250" y="5355167"/>
          <a:ext cx="123825" cy="9456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71" name="Text Box 211">
          <a:extLst>
            <a:ext uri="{FF2B5EF4-FFF2-40B4-BE49-F238E27FC236}">
              <a16:creationId xmlns:a16="http://schemas.microsoft.com/office/drawing/2014/main" id="{00000000-0008-0000-0F00-0000DF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72" name="Text Box 212">
          <a:extLst>
            <a:ext uri="{FF2B5EF4-FFF2-40B4-BE49-F238E27FC236}">
              <a16:creationId xmlns:a16="http://schemas.microsoft.com/office/drawing/2014/main" id="{00000000-0008-0000-0F00-0000E0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73" name="Text Box 213">
          <a:extLst>
            <a:ext uri="{FF2B5EF4-FFF2-40B4-BE49-F238E27FC236}">
              <a16:creationId xmlns:a16="http://schemas.microsoft.com/office/drawing/2014/main" id="{00000000-0008-0000-0F00-0000E1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7</xdr:col>
      <xdr:colOff>0</xdr:colOff>
      <xdr:row>4</xdr:row>
      <xdr:rowOff>0</xdr:rowOff>
    </xdr:from>
    <xdr:ext cx="123825" cy="831396"/>
    <xdr:sp macro="" textlink="">
      <xdr:nvSpPr>
        <xdr:cNvPr id="2274" name="Text Box 214">
          <a:extLst>
            <a:ext uri="{FF2B5EF4-FFF2-40B4-BE49-F238E27FC236}">
              <a16:creationId xmlns:a16="http://schemas.microsoft.com/office/drawing/2014/main" id="{00000000-0008-0000-0F00-0000E2080000}"/>
            </a:ext>
          </a:extLst>
        </xdr:cNvPr>
        <xdr:cNvSpPr txBox="1">
          <a:spLocks noChangeArrowheads="1"/>
        </xdr:cNvSpPr>
      </xdr:nvSpPr>
      <xdr:spPr bwMode="auto">
        <a:xfrm>
          <a:off x="4286250"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75" name="Text Box 197">
          <a:extLst>
            <a:ext uri="{FF2B5EF4-FFF2-40B4-BE49-F238E27FC236}">
              <a16:creationId xmlns:a16="http://schemas.microsoft.com/office/drawing/2014/main" id="{00000000-0008-0000-0F00-0000E3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76" name="Text Box 198">
          <a:extLst>
            <a:ext uri="{FF2B5EF4-FFF2-40B4-BE49-F238E27FC236}">
              <a16:creationId xmlns:a16="http://schemas.microsoft.com/office/drawing/2014/main" id="{00000000-0008-0000-0F00-0000E4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77" name="Text Box 199">
          <a:extLst>
            <a:ext uri="{FF2B5EF4-FFF2-40B4-BE49-F238E27FC236}">
              <a16:creationId xmlns:a16="http://schemas.microsoft.com/office/drawing/2014/main" id="{00000000-0008-0000-0F00-0000E5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78" name="Text Box 200">
          <a:extLst>
            <a:ext uri="{FF2B5EF4-FFF2-40B4-BE49-F238E27FC236}">
              <a16:creationId xmlns:a16="http://schemas.microsoft.com/office/drawing/2014/main" id="{00000000-0008-0000-0F00-0000E6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79" name="Text Box 201">
          <a:extLst>
            <a:ext uri="{FF2B5EF4-FFF2-40B4-BE49-F238E27FC236}">
              <a16:creationId xmlns:a16="http://schemas.microsoft.com/office/drawing/2014/main" id="{00000000-0008-0000-0F00-0000E7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80" name="Text Box 202">
          <a:extLst>
            <a:ext uri="{FF2B5EF4-FFF2-40B4-BE49-F238E27FC236}">
              <a16:creationId xmlns:a16="http://schemas.microsoft.com/office/drawing/2014/main" id="{00000000-0008-0000-0F00-0000E8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81" name="Text Box 203">
          <a:extLst>
            <a:ext uri="{FF2B5EF4-FFF2-40B4-BE49-F238E27FC236}">
              <a16:creationId xmlns:a16="http://schemas.microsoft.com/office/drawing/2014/main" id="{00000000-0008-0000-0F00-0000E9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82" name="Text Box 204">
          <a:extLst>
            <a:ext uri="{FF2B5EF4-FFF2-40B4-BE49-F238E27FC236}">
              <a16:creationId xmlns:a16="http://schemas.microsoft.com/office/drawing/2014/main" id="{00000000-0008-0000-0F00-0000EA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14300" cy="945696"/>
    <xdr:sp macro="" textlink="">
      <xdr:nvSpPr>
        <xdr:cNvPr id="2283" name="Text Box 205">
          <a:extLst>
            <a:ext uri="{FF2B5EF4-FFF2-40B4-BE49-F238E27FC236}">
              <a16:creationId xmlns:a16="http://schemas.microsoft.com/office/drawing/2014/main" id="{00000000-0008-0000-0F00-0000EB08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4</xdr:row>
      <xdr:rowOff>0</xdr:rowOff>
    </xdr:from>
    <xdr:ext cx="114300" cy="945696"/>
    <xdr:sp macro="" textlink="">
      <xdr:nvSpPr>
        <xdr:cNvPr id="2284" name="Text Box 206">
          <a:extLst>
            <a:ext uri="{FF2B5EF4-FFF2-40B4-BE49-F238E27FC236}">
              <a16:creationId xmlns:a16="http://schemas.microsoft.com/office/drawing/2014/main" id="{00000000-0008-0000-0F00-0000EC08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4</xdr:row>
      <xdr:rowOff>0</xdr:rowOff>
    </xdr:from>
    <xdr:ext cx="123825" cy="945696"/>
    <xdr:sp macro="" textlink="">
      <xdr:nvSpPr>
        <xdr:cNvPr id="2285" name="Text Box 207">
          <a:extLst>
            <a:ext uri="{FF2B5EF4-FFF2-40B4-BE49-F238E27FC236}">
              <a16:creationId xmlns:a16="http://schemas.microsoft.com/office/drawing/2014/main" id="{00000000-0008-0000-0F00-0000ED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4</xdr:row>
      <xdr:rowOff>0</xdr:rowOff>
    </xdr:from>
    <xdr:ext cx="123825" cy="945696"/>
    <xdr:sp macro="" textlink="">
      <xdr:nvSpPr>
        <xdr:cNvPr id="2286" name="Text Box 208">
          <a:extLst>
            <a:ext uri="{FF2B5EF4-FFF2-40B4-BE49-F238E27FC236}">
              <a16:creationId xmlns:a16="http://schemas.microsoft.com/office/drawing/2014/main" id="{00000000-0008-0000-0F00-0000EE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4</xdr:row>
      <xdr:rowOff>0</xdr:rowOff>
    </xdr:from>
    <xdr:ext cx="123825" cy="945696"/>
    <xdr:sp macro="" textlink="">
      <xdr:nvSpPr>
        <xdr:cNvPr id="2287" name="Text Box 209">
          <a:extLst>
            <a:ext uri="{FF2B5EF4-FFF2-40B4-BE49-F238E27FC236}">
              <a16:creationId xmlns:a16="http://schemas.microsoft.com/office/drawing/2014/main" id="{00000000-0008-0000-0F00-0000EF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4</xdr:row>
      <xdr:rowOff>0</xdr:rowOff>
    </xdr:from>
    <xdr:ext cx="123825" cy="945696"/>
    <xdr:sp macro="" textlink="">
      <xdr:nvSpPr>
        <xdr:cNvPr id="2288" name="Text Box 210">
          <a:extLst>
            <a:ext uri="{FF2B5EF4-FFF2-40B4-BE49-F238E27FC236}">
              <a16:creationId xmlns:a16="http://schemas.microsoft.com/office/drawing/2014/main" id="{00000000-0008-0000-0F00-0000F0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89" name="Text Box 211">
          <a:extLst>
            <a:ext uri="{FF2B5EF4-FFF2-40B4-BE49-F238E27FC236}">
              <a16:creationId xmlns:a16="http://schemas.microsoft.com/office/drawing/2014/main" id="{00000000-0008-0000-0F00-0000F1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90" name="Text Box 212">
          <a:extLst>
            <a:ext uri="{FF2B5EF4-FFF2-40B4-BE49-F238E27FC236}">
              <a16:creationId xmlns:a16="http://schemas.microsoft.com/office/drawing/2014/main" id="{00000000-0008-0000-0F00-0000F2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91" name="Text Box 213">
          <a:extLst>
            <a:ext uri="{FF2B5EF4-FFF2-40B4-BE49-F238E27FC236}">
              <a16:creationId xmlns:a16="http://schemas.microsoft.com/office/drawing/2014/main" id="{00000000-0008-0000-0F00-0000F3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92" name="Text Box 214">
          <a:extLst>
            <a:ext uri="{FF2B5EF4-FFF2-40B4-BE49-F238E27FC236}">
              <a16:creationId xmlns:a16="http://schemas.microsoft.com/office/drawing/2014/main" id="{00000000-0008-0000-0F00-0000F4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93" name="Text Box 197">
          <a:extLst>
            <a:ext uri="{FF2B5EF4-FFF2-40B4-BE49-F238E27FC236}">
              <a16:creationId xmlns:a16="http://schemas.microsoft.com/office/drawing/2014/main" id="{00000000-0008-0000-0F00-0000F5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94" name="Text Box 198">
          <a:extLst>
            <a:ext uri="{FF2B5EF4-FFF2-40B4-BE49-F238E27FC236}">
              <a16:creationId xmlns:a16="http://schemas.microsoft.com/office/drawing/2014/main" id="{00000000-0008-0000-0F00-0000F6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95" name="Text Box 199">
          <a:extLst>
            <a:ext uri="{FF2B5EF4-FFF2-40B4-BE49-F238E27FC236}">
              <a16:creationId xmlns:a16="http://schemas.microsoft.com/office/drawing/2014/main" id="{00000000-0008-0000-0F00-0000F7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96" name="Text Box 200">
          <a:extLst>
            <a:ext uri="{FF2B5EF4-FFF2-40B4-BE49-F238E27FC236}">
              <a16:creationId xmlns:a16="http://schemas.microsoft.com/office/drawing/2014/main" id="{00000000-0008-0000-0F00-0000F8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97" name="Text Box 201">
          <a:extLst>
            <a:ext uri="{FF2B5EF4-FFF2-40B4-BE49-F238E27FC236}">
              <a16:creationId xmlns:a16="http://schemas.microsoft.com/office/drawing/2014/main" id="{00000000-0008-0000-0F00-0000F9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98" name="Text Box 202">
          <a:extLst>
            <a:ext uri="{FF2B5EF4-FFF2-40B4-BE49-F238E27FC236}">
              <a16:creationId xmlns:a16="http://schemas.microsoft.com/office/drawing/2014/main" id="{00000000-0008-0000-0F00-0000FA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299" name="Text Box 203">
          <a:extLst>
            <a:ext uri="{FF2B5EF4-FFF2-40B4-BE49-F238E27FC236}">
              <a16:creationId xmlns:a16="http://schemas.microsoft.com/office/drawing/2014/main" id="{00000000-0008-0000-0F00-0000FB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300" name="Text Box 204">
          <a:extLst>
            <a:ext uri="{FF2B5EF4-FFF2-40B4-BE49-F238E27FC236}">
              <a16:creationId xmlns:a16="http://schemas.microsoft.com/office/drawing/2014/main" id="{00000000-0008-0000-0F00-0000FC08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14300" cy="945696"/>
    <xdr:sp macro="" textlink="">
      <xdr:nvSpPr>
        <xdr:cNvPr id="2301" name="Text Box 205">
          <a:extLst>
            <a:ext uri="{FF2B5EF4-FFF2-40B4-BE49-F238E27FC236}">
              <a16:creationId xmlns:a16="http://schemas.microsoft.com/office/drawing/2014/main" id="{00000000-0008-0000-0F00-0000FD08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4</xdr:row>
      <xdr:rowOff>0</xdr:rowOff>
    </xdr:from>
    <xdr:ext cx="114300" cy="945696"/>
    <xdr:sp macro="" textlink="">
      <xdr:nvSpPr>
        <xdr:cNvPr id="2302" name="Text Box 206">
          <a:extLst>
            <a:ext uri="{FF2B5EF4-FFF2-40B4-BE49-F238E27FC236}">
              <a16:creationId xmlns:a16="http://schemas.microsoft.com/office/drawing/2014/main" id="{00000000-0008-0000-0F00-0000FE080000}"/>
            </a:ext>
          </a:extLst>
        </xdr:cNvPr>
        <xdr:cNvSpPr txBox="1">
          <a:spLocks noChangeArrowheads="1"/>
        </xdr:cNvSpPr>
      </xdr:nvSpPr>
      <xdr:spPr bwMode="auto">
        <a:xfrm>
          <a:off x="3100917" y="5355167"/>
          <a:ext cx="114300" cy="945696"/>
        </a:xfrm>
        <a:prstGeom prst="rect">
          <a:avLst/>
        </a:prstGeom>
        <a:noFill/>
        <a:ln w="9525">
          <a:noFill/>
          <a:miter lim="800000"/>
          <a:headEnd/>
          <a:tailEnd/>
        </a:ln>
      </xdr:spPr>
    </xdr:sp>
    <xdr:clientData/>
  </xdr:oneCellAnchor>
  <xdr:oneCellAnchor>
    <xdr:from>
      <xdr:col>5</xdr:col>
      <xdr:colOff>0</xdr:colOff>
      <xdr:row>4</xdr:row>
      <xdr:rowOff>0</xdr:rowOff>
    </xdr:from>
    <xdr:ext cx="123825" cy="945696"/>
    <xdr:sp macro="" textlink="">
      <xdr:nvSpPr>
        <xdr:cNvPr id="2303" name="Text Box 207">
          <a:extLst>
            <a:ext uri="{FF2B5EF4-FFF2-40B4-BE49-F238E27FC236}">
              <a16:creationId xmlns:a16="http://schemas.microsoft.com/office/drawing/2014/main" id="{00000000-0008-0000-0F00-0000FF08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4</xdr:row>
      <xdr:rowOff>0</xdr:rowOff>
    </xdr:from>
    <xdr:ext cx="123825" cy="945696"/>
    <xdr:sp macro="" textlink="">
      <xdr:nvSpPr>
        <xdr:cNvPr id="2304" name="Text Box 208">
          <a:extLst>
            <a:ext uri="{FF2B5EF4-FFF2-40B4-BE49-F238E27FC236}">
              <a16:creationId xmlns:a16="http://schemas.microsoft.com/office/drawing/2014/main" id="{00000000-0008-0000-0F00-00000009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4</xdr:row>
      <xdr:rowOff>0</xdr:rowOff>
    </xdr:from>
    <xdr:ext cx="123825" cy="945696"/>
    <xdr:sp macro="" textlink="">
      <xdr:nvSpPr>
        <xdr:cNvPr id="2305" name="Text Box 209">
          <a:extLst>
            <a:ext uri="{FF2B5EF4-FFF2-40B4-BE49-F238E27FC236}">
              <a16:creationId xmlns:a16="http://schemas.microsoft.com/office/drawing/2014/main" id="{00000000-0008-0000-0F00-00000109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4</xdr:row>
      <xdr:rowOff>0</xdr:rowOff>
    </xdr:from>
    <xdr:ext cx="123825" cy="945696"/>
    <xdr:sp macro="" textlink="">
      <xdr:nvSpPr>
        <xdr:cNvPr id="2306" name="Text Box 210">
          <a:extLst>
            <a:ext uri="{FF2B5EF4-FFF2-40B4-BE49-F238E27FC236}">
              <a16:creationId xmlns:a16="http://schemas.microsoft.com/office/drawing/2014/main" id="{00000000-0008-0000-0F00-000002090000}"/>
            </a:ext>
          </a:extLst>
        </xdr:cNvPr>
        <xdr:cNvSpPr txBox="1">
          <a:spLocks noChangeArrowheads="1"/>
        </xdr:cNvSpPr>
      </xdr:nvSpPr>
      <xdr:spPr bwMode="auto">
        <a:xfrm>
          <a:off x="3100917" y="5355167"/>
          <a:ext cx="123825" cy="9456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307" name="Text Box 211">
          <a:extLst>
            <a:ext uri="{FF2B5EF4-FFF2-40B4-BE49-F238E27FC236}">
              <a16:creationId xmlns:a16="http://schemas.microsoft.com/office/drawing/2014/main" id="{00000000-0008-0000-0F00-00000309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308" name="Text Box 212">
          <a:extLst>
            <a:ext uri="{FF2B5EF4-FFF2-40B4-BE49-F238E27FC236}">
              <a16:creationId xmlns:a16="http://schemas.microsoft.com/office/drawing/2014/main" id="{00000000-0008-0000-0F00-00000409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309" name="Text Box 213">
          <a:extLst>
            <a:ext uri="{FF2B5EF4-FFF2-40B4-BE49-F238E27FC236}">
              <a16:creationId xmlns:a16="http://schemas.microsoft.com/office/drawing/2014/main" id="{00000000-0008-0000-0F00-00000509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5</xdr:col>
      <xdr:colOff>0</xdr:colOff>
      <xdr:row>4</xdr:row>
      <xdr:rowOff>0</xdr:rowOff>
    </xdr:from>
    <xdr:ext cx="123825" cy="831396"/>
    <xdr:sp macro="" textlink="">
      <xdr:nvSpPr>
        <xdr:cNvPr id="2310" name="Text Box 214">
          <a:extLst>
            <a:ext uri="{FF2B5EF4-FFF2-40B4-BE49-F238E27FC236}">
              <a16:creationId xmlns:a16="http://schemas.microsoft.com/office/drawing/2014/main" id="{00000000-0008-0000-0F00-000006090000}"/>
            </a:ext>
          </a:extLst>
        </xdr:cNvPr>
        <xdr:cNvSpPr txBox="1">
          <a:spLocks noChangeArrowheads="1"/>
        </xdr:cNvSpPr>
      </xdr:nvSpPr>
      <xdr:spPr bwMode="auto">
        <a:xfrm>
          <a:off x="3100917" y="535516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11" name="Text Box 197">
          <a:extLst>
            <a:ext uri="{FF2B5EF4-FFF2-40B4-BE49-F238E27FC236}">
              <a16:creationId xmlns:a16="http://schemas.microsoft.com/office/drawing/2014/main" id="{00000000-0008-0000-0F00-000007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12" name="Text Box 198">
          <a:extLst>
            <a:ext uri="{FF2B5EF4-FFF2-40B4-BE49-F238E27FC236}">
              <a16:creationId xmlns:a16="http://schemas.microsoft.com/office/drawing/2014/main" id="{00000000-0008-0000-0F00-000008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13" name="Text Box 199">
          <a:extLst>
            <a:ext uri="{FF2B5EF4-FFF2-40B4-BE49-F238E27FC236}">
              <a16:creationId xmlns:a16="http://schemas.microsoft.com/office/drawing/2014/main" id="{00000000-0008-0000-0F00-000009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14" name="Text Box 200">
          <a:extLst>
            <a:ext uri="{FF2B5EF4-FFF2-40B4-BE49-F238E27FC236}">
              <a16:creationId xmlns:a16="http://schemas.microsoft.com/office/drawing/2014/main" id="{00000000-0008-0000-0F00-00000A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15" name="Text Box 201">
          <a:extLst>
            <a:ext uri="{FF2B5EF4-FFF2-40B4-BE49-F238E27FC236}">
              <a16:creationId xmlns:a16="http://schemas.microsoft.com/office/drawing/2014/main" id="{00000000-0008-0000-0F00-00000B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16" name="Text Box 202">
          <a:extLst>
            <a:ext uri="{FF2B5EF4-FFF2-40B4-BE49-F238E27FC236}">
              <a16:creationId xmlns:a16="http://schemas.microsoft.com/office/drawing/2014/main" id="{00000000-0008-0000-0F00-00000C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17" name="Text Box 203">
          <a:extLst>
            <a:ext uri="{FF2B5EF4-FFF2-40B4-BE49-F238E27FC236}">
              <a16:creationId xmlns:a16="http://schemas.microsoft.com/office/drawing/2014/main" id="{00000000-0008-0000-0F00-00000D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18" name="Text Box 204">
          <a:extLst>
            <a:ext uri="{FF2B5EF4-FFF2-40B4-BE49-F238E27FC236}">
              <a16:creationId xmlns:a16="http://schemas.microsoft.com/office/drawing/2014/main" id="{00000000-0008-0000-0F00-00000E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14300" cy="945696"/>
    <xdr:sp macro="" textlink="">
      <xdr:nvSpPr>
        <xdr:cNvPr id="2319" name="Text Box 205">
          <a:extLst>
            <a:ext uri="{FF2B5EF4-FFF2-40B4-BE49-F238E27FC236}">
              <a16:creationId xmlns:a16="http://schemas.microsoft.com/office/drawing/2014/main" id="{00000000-0008-0000-0F00-00000F090000}"/>
            </a:ext>
          </a:extLst>
        </xdr:cNvPr>
        <xdr:cNvSpPr txBox="1">
          <a:spLocks noChangeArrowheads="1"/>
        </xdr:cNvSpPr>
      </xdr:nvSpPr>
      <xdr:spPr bwMode="auto">
        <a:xfrm>
          <a:off x="6678083" y="6529917"/>
          <a:ext cx="114300" cy="945696"/>
        </a:xfrm>
        <a:prstGeom prst="rect">
          <a:avLst/>
        </a:prstGeom>
        <a:noFill/>
        <a:ln w="9525">
          <a:noFill/>
          <a:miter lim="800000"/>
          <a:headEnd/>
          <a:tailEnd/>
        </a:ln>
      </xdr:spPr>
    </xdr:sp>
    <xdr:clientData/>
  </xdr:oneCellAnchor>
  <xdr:oneCellAnchor>
    <xdr:from>
      <xdr:col>9</xdr:col>
      <xdr:colOff>0</xdr:colOff>
      <xdr:row>14</xdr:row>
      <xdr:rowOff>0</xdr:rowOff>
    </xdr:from>
    <xdr:ext cx="114300" cy="945696"/>
    <xdr:sp macro="" textlink="">
      <xdr:nvSpPr>
        <xdr:cNvPr id="2320" name="Text Box 206">
          <a:extLst>
            <a:ext uri="{FF2B5EF4-FFF2-40B4-BE49-F238E27FC236}">
              <a16:creationId xmlns:a16="http://schemas.microsoft.com/office/drawing/2014/main" id="{00000000-0008-0000-0F00-000010090000}"/>
            </a:ext>
          </a:extLst>
        </xdr:cNvPr>
        <xdr:cNvSpPr txBox="1">
          <a:spLocks noChangeArrowheads="1"/>
        </xdr:cNvSpPr>
      </xdr:nvSpPr>
      <xdr:spPr bwMode="auto">
        <a:xfrm>
          <a:off x="6678083" y="6529917"/>
          <a:ext cx="114300" cy="945696"/>
        </a:xfrm>
        <a:prstGeom prst="rect">
          <a:avLst/>
        </a:prstGeom>
        <a:noFill/>
        <a:ln w="9525">
          <a:noFill/>
          <a:miter lim="800000"/>
          <a:headEnd/>
          <a:tailEnd/>
        </a:ln>
      </xdr:spPr>
    </xdr:sp>
    <xdr:clientData/>
  </xdr:oneCellAnchor>
  <xdr:oneCellAnchor>
    <xdr:from>
      <xdr:col>9</xdr:col>
      <xdr:colOff>0</xdr:colOff>
      <xdr:row>14</xdr:row>
      <xdr:rowOff>0</xdr:rowOff>
    </xdr:from>
    <xdr:ext cx="123825" cy="945696"/>
    <xdr:sp macro="" textlink="">
      <xdr:nvSpPr>
        <xdr:cNvPr id="2321" name="Text Box 207">
          <a:extLst>
            <a:ext uri="{FF2B5EF4-FFF2-40B4-BE49-F238E27FC236}">
              <a16:creationId xmlns:a16="http://schemas.microsoft.com/office/drawing/2014/main" id="{00000000-0008-0000-0F00-000011090000}"/>
            </a:ext>
          </a:extLst>
        </xdr:cNvPr>
        <xdr:cNvSpPr txBox="1">
          <a:spLocks noChangeArrowheads="1"/>
        </xdr:cNvSpPr>
      </xdr:nvSpPr>
      <xdr:spPr bwMode="auto">
        <a:xfrm>
          <a:off x="6678083" y="6529917"/>
          <a:ext cx="123825" cy="945696"/>
        </a:xfrm>
        <a:prstGeom prst="rect">
          <a:avLst/>
        </a:prstGeom>
        <a:noFill/>
        <a:ln w="9525">
          <a:noFill/>
          <a:miter lim="800000"/>
          <a:headEnd/>
          <a:tailEnd/>
        </a:ln>
      </xdr:spPr>
    </xdr:sp>
    <xdr:clientData/>
  </xdr:oneCellAnchor>
  <xdr:oneCellAnchor>
    <xdr:from>
      <xdr:col>9</xdr:col>
      <xdr:colOff>0</xdr:colOff>
      <xdr:row>14</xdr:row>
      <xdr:rowOff>0</xdr:rowOff>
    </xdr:from>
    <xdr:ext cx="123825" cy="945696"/>
    <xdr:sp macro="" textlink="">
      <xdr:nvSpPr>
        <xdr:cNvPr id="2322" name="Text Box 208">
          <a:extLst>
            <a:ext uri="{FF2B5EF4-FFF2-40B4-BE49-F238E27FC236}">
              <a16:creationId xmlns:a16="http://schemas.microsoft.com/office/drawing/2014/main" id="{00000000-0008-0000-0F00-000012090000}"/>
            </a:ext>
          </a:extLst>
        </xdr:cNvPr>
        <xdr:cNvSpPr txBox="1">
          <a:spLocks noChangeArrowheads="1"/>
        </xdr:cNvSpPr>
      </xdr:nvSpPr>
      <xdr:spPr bwMode="auto">
        <a:xfrm>
          <a:off x="6678083" y="6529917"/>
          <a:ext cx="123825" cy="945696"/>
        </a:xfrm>
        <a:prstGeom prst="rect">
          <a:avLst/>
        </a:prstGeom>
        <a:noFill/>
        <a:ln w="9525">
          <a:noFill/>
          <a:miter lim="800000"/>
          <a:headEnd/>
          <a:tailEnd/>
        </a:ln>
      </xdr:spPr>
    </xdr:sp>
    <xdr:clientData/>
  </xdr:oneCellAnchor>
  <xdr:oneCellAnchor>
    <xdr:from>
      <xdr:col>9</xdr:col>
      <xdr:colOff>0</xdr:colOff>
      <xdr:row>14</xdr:row>
      <xdr:rowOff>0</xdr:rowOff>
    </xdr:from>
    <xdr:ext cx="123825" cy="945696"/>
    <xdr:sp macro="" textlink="">
      <xdr:nvSpPr>
        <xdr:cNvPr id="2323" name="Text Box 209">
          <a:extLst>
            <a:ext uri="{FF2B5EF4-FFF2-40B4-BE49-F238E27FC236}">
              <a16:creationId xmlns:a16="http://schemas.microsoft.com/office/drawing/2014/main" id="{00000000-0008-0000-0F00-000013090000}"/>
            </a:ext>
          </a:extLst>
        </xdr:cNvPr>
        <xdr:cNvSpPr txBox="1">
          <a:spLocks noChangeArrowheads="1"/>
        </xdr:cNvSpPr>
      </xdr:nvSpPr>
      <xdr:spPr bwMode="auto">
        <a:xfrm>
          <a:off x="6678083" y="6529917"/>
          <a:ext cx="123825" cy="945696"/>
        </a:xfrm>
        <a:prstGeom prst="rect">
          <a:avLst/>
        </a:prstGeom>
        <a:noFill/>
        <a:ln w="9525">
          <a:noFill/>
          <a:miter lim="800000"/>
          <a:headEnd/>
          <a:tailEnd/>
        </a:ln>
      </xdr:spPr>
    </xdr:sp>
    <xdr:clientData/>
  </xdr:oneCellAnchor>
  <xdr:oneCellAnchor>
    <xdr:from>
      <xdr:col>9</xdr:col>
      <xdr:colOff>0</xdr:colOff>
      <xdr:row>14</xdr:row>
      <xdr:rowOff>0</xdr:rowOff>
    </xdr:from>
    <xdr:ext cx="123825" cy="945696"/>
    <xdr:sp macro="" textlink="">
      <xdr:nvSpPr>
        <xdr:cNvPr id="2324" name="Text Box 210">
          <a:extLst>
            <a:ext uri="{FF2B5EF4-FFF2-40B4-BE49-F238E27FC236}">
              <a16:creationId xmlns:a16="http://schemas.microsoft.com/office/drawing/2014/main" id="{00000000-0008-0000-0F00-000014090000}"/>
            </a:ext>
          </a:extLst>
        </xdr:cNvPr>
        <xdr:cNvSpPr txBox="1">
          <a:spLocks noChangeArrowheads="1"/>
        </xdr:cNvSpPr>
      </xdr:nvSpPr>
      <xdr:spPr bwMode="auto">
        <a:xfrm>
          <a:off x="6678083" y="6529917"/>
          <a:ext cx="123825" cy="9456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25" name="Text Box 211">
          <a:extLst>
            <a:ext uri="{FF2B5EF4-FFF2-40B4-BE49-F238E27FC236}">
              <a16:creationId xmlns:a16="http://schemas.microsoft.com/office/drawing/2014/main" id="{00000000-0008-0000-0F00-000015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26" name="Text Box 212">
          <a:extLst>
            <a:ext uri="{FF2B5EF4-FFF2-40B4-BE49-F238E27FC236}">
              <a16:creationId xmlns:a16="http://schemas.microsoft.com/office/drawing/2014/main" id="{00000000-0008-0000-0F00-000016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27" name="Text Box 213">
          <a:extLst>
            <a:ext uri="{FF2B5EF4-FFF2-40B4-BE49-F238E27FC236}">
              <a16:creationId xmlns:a16="http://schemas.microsoft.com/office/drawing/2014/main" id="{00000000-0008-0000-0F00-000017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28" name="Text Box 214">
          <a:extLst>
            <a:ext uri="{FF2B5EF4-FFF2-40B4-BE49-F238E27FC236}">
              <a16:creationId xmlns:a16="http://schemas.microsoft.com/office/drawing/2014/main" id="{00000000-0008-0000-0F00-000018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29" name="Text Box 197">
          <a:extLst>
            <a:ext uri="{FF2B5EF4-FFF2-40B4-BE49-F238E27FC236}">
              <a16:creationId xmlns:a16="http://schemas.microsoft.com/office/drawing/2014/main" id="{00000000-0008-0000-0F00-000019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30" name="Text Box 198">
          <a:extLst>
            <a:ext uri="{FF2B5EF4-FFF2-40B4-BE49-F238E27FC236}">
              <a16:creationId xmlns:a16="http://schemas.microsoft.com/office/drawing/2014/main" id="{00000000-0008-0000-0F00-00001A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31" name="Text Box 199">
          <a:extLst>
            <a:ext uri="{FF2B5EF4-FFF2-40B4-BE49-F238E27FC236}">
              <a16:creationId xmlns:a16="http://schemas.microsoft.com/office/drawing/2014/main" id="{00000000-0008-0000-0F00-00001B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32" name="Text Box 200">
          <a:extLst>
            <a:ext uri="{FF2B5EF4-FFF2-40B4-BE49-F238E27FC236}">
              <a16:creationId xmlns:a16="http://schemas.microsoft.com/office/drawing/2014/main" id="{00000000-0008-0000-0F00-00001C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33" name="Text Box 201">
          <a:extLst>
            <a:ext uri="{FF2B5EF4-FFF2-40B4-BE49-F238E27FC236}">
              <a16:creationId xmlns:a16="http://schemas.microsoft.com/office/drawing/2014/main" id="{00000000-0008-0000-0F00-00001D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34" name="Text Box 202">
          <a:extLst>
            <a:ext uri="{FF2B5EF4-FFF2-40B4-BE49-F238E27FC236}">
              <a16:creationId xmlns:a16="http://schemas.microsoft.com/office/drawing/2014/main" id="{00000000-0008-0000-0F00-00001E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35" name="Text Box 203">
          <a:extLst>
            <a:ext uri="{FF2B5EF4-FFF2-40B4-BE49-F238E27FC236}">
              <a16:creationId xmlns:a16="http://schemas.microsoft.com/office/drawing/2014/main" id="{00000000-0008-0000-0F00-00001F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36" name="Text Box 204">
          <a:extLst>
            <a:ext uri="{FF2B5EF4-FFF2-40B4-BE49-F238E27FC236}">
              <a16:creationId xmlns:a16="http://schemas.microsoft.com/office/drawing/2014/main" id="{00000000-0008-0000-0F00-000020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14300" cy="945696"/>
    <xdr:sp macro="" textlink="">
      <xdr:nvSpPr>
        <xdr:cNvPr id="2337" name="Text Box 205">
          <a:extLst>
            <a:ext uri="{FF2B5EF4-FFF2-40B4-BE49-F238E27FC236}">
              <a16:creationId xmlns:a16="http://schemas.microsoft.com/office/drawing/2014/main" id="{00000000-0008-0000-0F00-000021090000}"/>
            </a:ext>
          </a:extLst>
        </xdr:cNvPr>
        <xdr:cNvSpPr txBox="1">
          <a:spLocks noChangeArrowheads="1"/>
        </xdr:cNvSpPr>
      </xdr:nvSpPr>
      <xdr:spPr bwMode="auto">
        <a:xfrm>
          <a:off x="6678083" y="6529917"/>
          <a:ext cx="114300" cy="945696"/>
        </a:xfrm>
        <a:prstGeom prst="rect">
          <a:avLst/>
        </a:prstGeom>
        <a:noFill/>
        <a:ln w="9525">
          <a:noFill/>
          <a:miter lim="800000"/>
          <a:headEnd/>
          <a:tailEnd/>
        </a:ln>
      </xdr:spPr>
    </xdr:sp>
    <xdr:clientData/>
  </xdr:oneCellAnchor>
  <xdr:oneCellAnchor>
    <xdr:from>
      <xdr:col>9</xdr:col>
      <xdr:colOff>0</xdr:colOff>
      <xdr:row>14</xdr:row>
      <xdr:rowOff>0</xdr:rowOff>
    </xdr:from>
    <xdr:ext cx="114300" cy="945696"/>
    <xdr:sp macro="" textlink="">
      <xdr:nvSpPr>
        <xdr:cNvPr id="2338" name="Text Box 206">
          <a:extLst>
            <a:ext uri="{FF2B5EF4-FFF2-40B4-BE49-F238E27FC236}">
              <a16:creationId xmlns:a16="http://schemas.microsoft.com/office/drawing/2014/main" id="{00000000-0008-0000-0F00-000022090000}"/>
            </a:ext>
          </a:extLst>
        </xdr:cNvPr>
        <xdr:cNvSpPr txBox="1">
          <a:spLocks noChangeArrowheads="1"/>
        </xdr:cNvSpPr>
      </xdr:nvSpPr>
      <xdr:spPr bwMode="auto">
        <a:xfrm>
          <a:off x="6678083" y="6529917"/>
          <a:ext cx="114300" cy="945696"/>
        </a:xfrm>
        <a:prstGeom prst="rect">
          <a:avLst/>
        </a:prstGeom>
        <a:noFill/>
        <a:ln w="9525">
          <a:noFill/>
          <a:miter lim="800000"/>
          <a:headEnd/>
          <a:tailEnd/>
        </a:ln>
      </xdr:spPr>
    </xdr:sp>
    <xdr:clientData/>
  </xdr:oneCellAnchor>
  <xdr:oneCellAnchor>
    <xdr:from>
      <xdr:col>9</xdr:col>
      <xdr:colOff>0</xdr:colOff>
      <xdr:row>14</xdr:row>
      <xdr:rowOff>0</xdr:rowOff>
    </xdr:from>
    <xdr:ext cx="123825" cy="945696"/>
    <xdr:sp macro="" textlink="">
      <xdr:nvSpPr>
        <xdr:cNvPr id="2339" name="Text Box 207">
          <a:extLst>
            <a:ext uri="{FF2B5EF4-FFF2-40B4-BE49-F238E27FC236}">
              <a16:creationId xmlns:a16="http://schemas.microsoft.com/office/drawing/2014/main" id="{00000000-0008-0000-0F00-000023090000}"/>
            </a:ext>
          </a:extLst>
        </xdr:cNvPr>
        <xdr:cNvSpPr txBox="1">
          <a:spLocks noChangeArrowheads="1"/>
        </xdr:cNvSpPr>
      </xdr:nvSpPr>
      <xdr:spPr bwMode="auto">
        <a:xfrm>
          <a:off x="6678083" y="6529917"/>
          <a:ext cx="123825" cy="945696"/>
        </a:xfrm>
        <a:prstGeom prst="rect">
          <a:avLst/>
        </a:prstGeom>
        <a:noFill/>
        <a:ln w="9525">
          <a:noFill/>
          <a:miter lim="800000"/>
          <a:headEnd/>
          <a:tailEnd/>
        </a:ln>
      </xdr:spPr>
    </xdr:sp>
    <xdr:clientData/>
  </xdr:oneCellAnchor>
  <xdr:oneCellAnchor>
    <xdr:from>
      <xdr:col>9</xdr:col>
      <xdr:colOff>0</xdr:colOff>
      <xdr:row>14</xdr:row>
      <xdr:rowOff>0</xdr:rowOff>
    </xdr:from>
    <xdr:ext cx="123825" cy="945696"/>
    <xdr:sp macro="" textlink="">
      <xdr:nvSpPr>
        <xdr:cNvPr id="2340" name="Text Box 208">
          <a:extLst>
            <a:ext uri="{FF2B5EF4-FFF2-40B4-BE49-F238E27FC236}">
              <a16:creationId xmlns:a16="http://schemas.microsoft.com/office/drawing/2014/main" id="{00000000-0008-0000-0F00-000024090000}"/>
            </a:ext>
          </a:extLst>
        </xdr:cNvPr>
        <xdr:cNvSpPr txBox="1">
          <a:spLocks noChangeArrowheads="1"/>
        </xdr:cNvSpPr>
      </xdr:nvSpPr>
      <xdr:spPr bwMode="auto">
        <a:xfrm>
          <a:off x="6678083" y="6529917"/>
          <a:ext cx="123825" cy="945696"/>
        </a:xfrm>
        <a:prstGeom prst="rect">
          <a:avLst/>
        </a:prstGeom>
        <a:noFill/>
        <a:ln w="9525">
          <a:noFill/>
          <a:miter lim="800000"/>
          <a:headEnd/>
          <a:tailEnd/>
        </a:ln>
      </xdr:spPr>
    </xdr:sp>
    <xdr:clientData/>
  </xdr:oneCellAnchor>
  <xdr:oneCellAnchor>
    <xdr:from>
      <xdr:col>9</xdr:col>
      <xdr:colOff>0</xdr:colOff>
      <xdr:row>14</xdr:row>
      <xdr:rowOff>0</xdr:rowOff>
    </xdr:from>
    <xdr:ext cx="123825" cy="945696"/>
    <xdr:sp macro="" textlink="">
      <xdr:nvSpPr>
        <xdr:cNvPr id="2341" name="Text Box 209">
          <a:extLst>
            <a:ext uri="{FF2B5EF4-FFF2-40B4-BE49-F238E27FC236}">
              <a16:creationId xmlns:a16="http://schemas.microsoft.com/office/drawing/2014/main" id="{00000000-0008-0000-0F00-000025090000}"/>
            </a:ext>
          </a:extLst>
        </xdr:cNvPr>
        <xdr:cNvSpPr txBox="1">
          <a:spLocks noChangeArrowheads="1"/>
        </xdr:cNvSpPr>
      </xdr:nvSpPr>
      <xdr:spPr bwMode="auto">
        <a:xfrm>
          <a:off x="6678083" y="6529917"/>
          <a:ext cx="123825" cy="945696"/>
        </a:xfrm>
        <a:prstGeom prst="rect">
          <a:avLst/>
        </a:prstGeom>
        <a:noFill/>
        <a:ln w="9525">
          <a:noFill/>
          <a:miter lim="800000"/>
          <a:headEnd/>
          <a:tailEnd/>
        </a:ln>
      </xdr:spPr>
    </xdr:sp>
    <xdr:clientData/>
  </xdr:oneCellAnchor>
  <xdr:oneCellAnchor>
    <xdr:from>
      <xdr:col>9</xdr:col>
      <xdr:colOff>0</xdr:colOff>
      <xdr:row>14</xdr:row>
      <xdr:rowOff>0</xdr:rowOff>
    </xdr:from>
    <xdr:ext cx="123825" cy="945696"/>
    <xdr:sp macro="" textlink="">
      <xdr:nvSpPr>
        <xdr:cNvPr id="2342" name="Text Box 210">
          <a:extLst>
            <a:ext uri="{FF2B5EF4-FFF2-40B4-BE49-F238E27FC236}">
              <a16:creationId xmlns:a16="http://schemas.microsoft.com/office/drawing/2014/main" id="{00000000-0008-0000-0F00-000026090000}"/>
            </a:ext>
          </a:extLst>
        </xdr:cNvPr>
        <xdr:cNvSpPr txBox="1">
          <a:spLocks noChangeArrowheads="1"/>
        </xdr:cNvSpPr>
      </xdr:nvSpPr>
      <xdr:spPr bwMode="auto">
        <a:xfrm>
          <a:off x="6678083" y="6529917"/>
          <a:ext cx="123825" cy="9456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43" name="Text Box 211">
          <a:extLst>
            <a:ext uri="{FF2B5EF4-FFF2-40B4-BE49-F238E27FC236}">
              <a16:creationId xmlns:a16="http://schemas.microsoft.com/office/drawing/2014/main" id="{00000000-0008-0000-0F00-000027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44" name="Text Box 212">
          <a:extLst>
            <a:ext uri="{FF2B5EF4-FFF2-40B4-BE49-F238E27FC236}">
              <a16:creationId xmlns:a16="http://schemas.microsoft.com/office/drawing/2014/main" id="{00000000-0008-0000-0F00-000028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45" name="Text Box 213">
          <a:extLst>
            <a:ext uri="{FF2B5EF4-FFF2-40B4-BE49-F238E27FC236}">
              <a16:creationId xmlns:a16="http://schemas.microsoft.com/office/drawing/2014/main" id="{00000000-0008-0000-0F00-000029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14</xdr:row>
      <xdr:rowOff>0</xdr:rowOff>
    </xdr:from>
    <xdr:ext cx="123825" cy="831396"/>
    <xdr:sp macro="" textlink="">
      <xdr:nvSpPr>
        <xdr:cNvPr id="2346" name="Text Box 214">
          <a:extLst>
            <a:ext uri="{FF2B5EF4-FFF2-40B4-BE49-F238E27FC236}">
              <a16:creationId xmlns:a16="http://schemas.microsoft.com/office/drawing/2014/main" id="{00000000-0008-0000-0F00-00002A090000}"/>
            </a:ext>
          </a:extLst>
        </xdr:cNvPr>
        <xdr:cNvSpPr txBox="1">
          <a:spLocks noChangeArrowheads="1"/>
        </xdr:cNvSpPr>
      </xdr:nvSpPr>
      <xdr:spPr bwMode="auto">
        <a:xfrm>
          <a:off x="6678083" y="6529917"/>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1522640"/>
    <xdr:sp macro="" textlink="">
      <xdr:nvSpPr>
        <xdr:cNvPr id="2347" name="Text Box 216">
          <a:extLst>
            <a:ext uri="{FF2B5EF4-FFF2-40B4-BE49-F238E27FC236}">
              <a16:creationId xmlns:a16="http://schemas.microsoft.com/office/drawing/2014/main" id="{00000000-0008-0000-0F00-00002B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15</xdr:row>
      <xdr:rowOff>0</xdr:rowOff>
    </xdr:from>
    <xdr:ext cx="123825" cy="1522640"/>
    <xdr:sp macro="" textlink="">
      <xdr:nvSpPr>
        <xdr:cNvPr id="2348" name="Text Box 217">
          <a:extLst>
            <a:ext uri="{FF2B5EF4-FFF2-40B4-BE49-F238E27FC236}">
              <a16:creationId xmlns:a16="http://schemas.microsoft.com/office/drawing/2014/main" id="{00000000-0008-0000-0F00-00002C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15</xdr:row>
      <xdr:rowOff>0</xdr:rowOff>
    </xdr:from>
    <xdr:ext cx="123825" cy="1522640"/>
    <xdr:sp macro="" textlink="">
      <xdr:nvSpPr>
        <xdr:cNvPr id="2349" name="Text Box 218">
          <a:extLst>
            <a:ext uri="{FF2B5EF4-FFF2-40B4-BE49-F238E27FC236}">
              <a16:creationId xmlns:a16="http://schemas.microsoft.com/office/drawing/2014/main" id="{00000000-0008-0000-0F00-00002D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15</xdr:row>
      <xdr:rowOff>0</xdr:rowOff>
    </xdr:from>
    <xdr:ext cx="123825" cy="1522640"/>
    <xdr:sp macro="" textlink="">
      <xdr:nvSpPr>
        <xdr:cNvPr id="2350" name="Text Box 219">
          <a:extLst>
            <a:ext uri="{FF2B5EF4-FFF2-40B4-BE49-F238E27FC236}">
              <a16:creationId xmlns:a16="http://schemas.microsoft.com/office/drawing/2014/main" id="{00000000-0008-0000-0F00-00002E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15</xdr:row>
      <xdr:rowOff>0</xdr:rowOff>
    </xdr:from>
    <xdr:ext cx="123825" cy="1522640"/>
    <xdr:sp macro="" textlink="">
      <xdr:nvSpPr>
        <xdr:cNvPr id="2351" name="Text Box 220">
          <a:extLst>
            <a:ext uri="{FF2B5EF4-FFF2-40B4-BE49-F238E27FC236}">
              <a16:creationId xmlns:a16="http://schemas.microsoft.com/office/drawing/2014/main" id="{00000000-0008-0000-0F00-00002F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15</xdr:row>
      <xdr:rowOff>0</xdr:rowOff>
    </xdr:from>
    <xdr:ext cx="123825" cy="1522640"/>
    <xdr:sp macro="" textlink="">
      <xdr:nvSpPr>
        <xdr:cNvPr id="2352" name="Text Box 221">
          <a:extLst>
            <a:ext uri="{FF2B5EF4-FFF2-40B4-BE49-F238E27FC236}">
              <a16:creationId xmlns:a16="http://schemas.microsoft.com/office/drawing/2014/main" id="{00000000-0008-0000-0F00-000030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15</xdr:row>
      <xdr:rowOff>0</xdr:rowOff>
    </xdr:from>
    <xdr:ext cx="123825" cy="1522640"/>
    <xdr:sp macro="" textlink="">
      <xdr:nvSpPr>
        <xdr:cNvPr id="2353" name="Text Box 222">
          <a:extLst>
            <a:ext uri="{FF2B5EF4-FFF2-40B4-BE49-F238E27FC236}">
              <a16:creationId xmlns:a16="http://schemas.microsoft.com/office/drawing/2014/main" id="{00000000-0008-0000-0F00-000031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15</xdr:row>
      <xdr:rowOff>0</xdr:rowOff>
    </xdr:from>
    <xdr:ext cx="123825" cy="1522640"/>
    <xdr:sp macro="" textlink="">
      <xdr:nvSpPr>
        <xdr:cNvPr id="2354" name="Text Box 223">
          <a:extLst>
            <a:ext uri="{FF2B5EF4-FFF2-40B4-BE49-F238E27FC236}">
              <a16:creationId xmlns:a16="http://schemas.microsoft.com/office/drawing/2014/main" id="{00000000-0008-0000-0F00-000032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15</xdr:row>
      <xdr:rowOff>0</xdr:rowOff>
    </xdr:from>
    <xdr:ext cx="123825" cy="1522640"/>
    <xdr:sp macro="" textlink="">
      <xdr:nvSpPr>
        <xdr:cNvPr id="2355" name="Text Box 230">
          <a:extLst>
            <a:ext uri="{FF2B5EF4-FFF2-40B4-BE49-F238E27FC236}">
              <a16:creationId xmlns:a16="http://schemas.microsoft.com/office/drawing/2014/main" id="{00000000-0008-0000-0F00-000033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15</xdr:row>
      <xdr:rowOff>0</xdr:rowOff>
    </xdr:from>
    <xdr:ext cx="123825" cy="1522640"/>
    <xdr:sp macro="" textlink="">
      <xdr:nvSpPr>
        <xdr:cNvPr id="2356" name="Text Box 231">
          <a:extLst>
            <a:ext uri="{FF2B5EF4-FFF2-40B4-BE49-F238E27FC236}">
              <a16:creationId xmlns:a16="http://schemas.microsoft.com/office/drawing/2014/main" id="{00000000-0008-0000-0F00-000034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15</xdr:row>
      <xdr:rowOff>0</xdr:rowOff>
    </xdr:from>
    <xdr:ext cx="123825" cy="1522640"/>
    <xdr:sp macro="" textlink="">
      <xdr:nvSpPr>
        <xdr:cNvPr id="2357" name="Text Box 232">
          <a:extLst>
            <a:ext uri="{FF2B5EF4-FFF2-40B4-BE49-F238E27FC236}">
              <a16:creationId xmlns:a16="http://schemas.microsoft.com/office/drawing/2014/main" id="{00000000-0008-0000-0F00-000035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15</xdr:row>
      <xdr:rowOff>0</xdr:rowOff>
    </xdr:from>
    <xdr:ext cx="123825" cy="1522640"/>
    <xdr:sp macro="" textlink="">
      <xdr:nvSpPr>
        <xdr:cNvPr id="2358" name="Text Box 233">
          <a:extLst>
            <a:ext uri="{FF2B5EF4-FFF2-40B4-BE49-F238E27FC236}">
              <a16:creationId xmlns:a16="http://schemas.microsoft.com/office/drawing/2014/main" id="{00000000-0008-0000-0F00-000036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15</xdr:row>
      <xdr:rowOff>0</xdr:rowOff>
    </xdr:from>
    <xdr:ext cx="123825" cy="1522640"/>
    <xdr:sp macro="" textlink="">
      <xdr:nvSpPr>
        <xdr:cNvPr id="2359" name="Text Box 234">
          <a:extLst>
            <a:ext uri="{FF2B5EF4-FFF2-40B4-BE49-F238E27FC236}">
              <a16:creationId xmlns:a16="http://schemas.microsoft.com/office/drawing/2014/main" id="{00000000-0008-0000-0F00-000037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60" name="Text Box 197">
          <a:extLst>
            <a:ext uri="{FF2B5EF4-FFF2-40B4-BE49-F238E27FC236}">
              <a16:creationId xmlns:a16="http://schemas.microsoft.com/office/drawing/2014/main" id="{00000000-0008-0000-0F00-000038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61" name="Text Box 198">
          <a:extLst>
            <a:ext uri="{FF2B5EF4-FFF2-40B4-BE49-F238E27FC236}">
              <a16:creationId xmlns:a16="http://schemas.microsoft.com/office/drawing/2014/main" id="{00000000-0008-0000-0F00-000039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62" name="Text Box 199">
          <a:extLst>
            <a:ext uri="{FF2B5EF4-FFF2-40B4-BE49-F238E27FC236}">
              <a16:creationId xmlns:a16="http://schemas.microsoft.com/office/drawing/2014/main" id="{00000000-0008-0000-0F00-00003A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63" name="Text Box 200">
          <a:extLst>
            <a:ext uri="{FF2B5EF4-FFF2-40B4-BE49-F238E27FC236}">
              <a16:creationId xmlns:a16="http://schemas.microsoft.com/office/drawing/2014/main" id="{00000000-0008-0000-0F00-00003B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64" name="Text Box 201">
          <a:extLst>
            <a:ext uri="{FF2B5EF4-FFF2-40B4-BE49-F238E27FC236}">
              <a16:creationId xmlns:a16="http://schemas.microsoft.com/office/drawing/2014/main" id="{00000000-0008-0000-0F00-00003C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65" name="Text Box 202">
          <a:extLst>
            <a:ext uri="{FF2B5EF4-FFF2-40B4-BE49-F238E27FC236}">
              <a16:creationId xmlns:a16="http://schemas.microsoft.com/office/drawing/2014/main" id="{00000000-0008-0000-0F00-00003D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66" name="Text Box 203">
          <a:extLst>
            <a:ext uri="{FF2B5EF4-FFF2-40B4-BE49-F238E27FC236}">
              <a16:creationId xmlns:a16="http://schemas.microsoft.com/office/drawing/2014/main" id="{00000000-0008-0000-0F00-00003E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67" name="Text Box 204">
          <a:extLst>
            <a:ext uri="{FF2B5EF4-FFF2-40B4-BE49-F238E27FC236}">
              <a16:creationId xmlns:a16="http://schemas.microsoft.com/office/drawing/2014/main" id="{00000000-0008-0000-0F00-00003F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14300" cy="945696"/>
    <xdr:sp macro="" textlink="">
      <xdr:nvSpPr>
        <xdr:cNvPr id="2368" name="Text Box 205">
          <a:extLst>
            <a:ext uri="{FF2B5EF4-FFF2-40B4-BE49-F238E27FC236}">
              <a16:creationId xmlns:a16="http://schemas.microsoft.com/office/drawing/2014/main" id="{00000000-0008-0000-0F00-000040090000}"/>
            </a:ext>
          </a:extLst>
        </xdr:cNvPr>
        <xdr:cNvSpPr txBox="1">
          <a:spLocks noChangeArrowheads="1"/>
        </xdr:cNvSpPr>
      </xdr:nvSpPr>
      <xdr:spPr bwMode="auto">
        <a:xfrm>
          <a:off x="6678083" y="7207250"/>
          <a:ext cx="114300" cy="945696"/>
        </a:xfrm>
        <a:prstGeom prst="rect">
          <a:avLst/>
        </a:prstGeom>
        <a:noFill/>
        <a:ln w="9525">
          <a:noFill/>
          <a:miter lim="800000"/>
          <a:headEnd/>
          <a:tailEnd/>
        </a:ln>
      </xdr:spPr>
    </xdr:sp>
    <xdr:clientData/>
  </xdr:oneCellAnchor>
  <xdr:oneCellAnchor>
    <xdr:from>
      <xdr:col>9</xdr:col>
      <xdr:colOff>0</xdr:colOff>
      <xdr:row>15</xdr:row>
      <xdr:rowOff>0</xdr:rowOff>
    </xdr:from>
    <xdr:ext cx="114300" cy="945696"/>
    <xdr:sp macro="" textlink="">
      <xdr:nvSpPr>
        <xdr:cNvPr id="2369" name="Text Box 206">
          <a:extLst>
            <a:ext uri="{FF2B5EF4-FFF2-40B4-BE49-F238E27FC236}">
              <a16:creationId xmlns:a16="http://schemas.microsoft.com/office/drawing/2014/main" id="{00000000-0008-0000-0F00-000041090000}"/>
            </a:ext>
          </a:extLst>
        </xdr:cNvPr>
        <xdr:cNvSpPr txBox="1">
          <a:spLocks noChangeArrowheads="1"/>
        </xdr:cNvSpPr>
      </xdr:nvSpPr>
      <xdr:spPr bwMode="auto">
        <a:xfrm>
          <a:off x="6678083" y="7207250"/>
          <a:ext cx="114300" cy="945696"/>
        </a:xfrm>
        <a:prstGeom prst="rect">
          <a:avLst/>
        </a:prstGeom>
        <a:noFill/>
        <a:ln w="9525">
          <a:noFill/>
          <a:miter lim="800000"/>
          <a:headEnd/>
          <a:tailEnd/>
        </a:ln>
      </xdr:spPr>
    </xdr:sp>
    <xdr:clientData/>
  </xdr:oneCellAnchor>
  <xdr:oneCellAnchor>
    <xdr:from>
      <xdr:col>9</xdr:col>
      <xdr:colOff>0</xdr:colOff>
      <xdr:row>15</xdr:row>
      <xdr:rowOff>0</xdr:rowOff>
    </xdr:from>
    <xdr:ext cx="123825" cy="945696"/>
    <xdr:sp macro="" textlink="">
      <xdr:nvSpPr>
        <xdr:cNvPr id="2370" name="Text Box 207">
          <a:extLst>
            <a:ext uri="{FF2B5EF4-FFF2-40B4-BE49-F238E27FC236}">
              <a16:creationId xmlns:a16="http://schemas.microsoft.com/office/drawing/2014/main" id="{00000000-0008-0000-0F00-000042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15</xdr:row>
      <xdr:rowOff>0</xdr:rowOff>
    </xdr:from>
    <xdr:ext cx="123825" cy="945696"/>
    <xdr:sp macro="" textlink="">
      <xdr:nvSpPr>
        <xdr:cNvPr id="2371" name="Text Box 208">
          <a:extLst>
            <a:ext uri="{FF2B5EF4-FFF2-40B4-BE49-F238E27FC236}">
              <a16:creationId xmlns:a16="http://schemas.microsoft.com/office/drawing/2014/main" id="{00000000-0008-0000-0F00-000043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15</xdr:row>
      <xdr:rowOff>0</xdr:rowOff>
    </xdr:from>
    <xdr:ext cx="123825" cy="945696"/>
    <xdr:sp macro="" textlink="">
      <xdr:nvSpPr>
        <xdr:cNvPr id="2372" name="Text Box 209">
          <a:extLst>
            <a:ext uri="{FF2B5EF4-FFF2-40B4-BE49-F238E27FC236}">
              <a16:creationId xmlns:a16="http://schemas.microsoft.com/office/drawing/2014/main" id="{00000000-0008-0000-0F00-000044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15</xdr:row>
      <xdr:rowOff>0</xdr:rowOff>
    </xdr:from>
    <xdr:ext cx="123825" cy="945696"/>
    <xdr:sp macro="" textlink="">
      <xdr:nvSpPr>
        <xdr:cNvPr id="2373" name="Text Box 210">
          <a:extLst>
            <a:ext uri="{FF2B5EF4-FFF2-40B4-BE49-F238E27FC236}">
              <a16:creationId xmlns:a16="http://schemas.microsoft.com/office/drawing/2014/main" id="{00000000-0008-0000-0F00-000045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74" name="Text Box 211">
          <a:extLst>
            <a:ext uri="{FF2B5EF4-FFF2-40B4-BE49-F238E27FC236}">
              <a16:creationId xmlns:a16="http://schemas.microsoft.com/office/drawing/2014/main" id="{00000000-0008-0000-0F00-000046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75" name="Text Box 212">
          <a:extLst>
            <a:ext uri="{FF2B5EF4-FFF2-40B4-BE49-F238E27FC236}">
              <a16:creationId xmlns:a16="http://schemas.microsoft.com/office/drawing/2014/main" id="{00000000-0008-0000-0F00-000047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76" name="Text Box 213">
          <a:extLst>
            <a:ext uri="{FF2B5EF4-FFF2-40B4-BE49-F238E27FC236}">
              <a16:creationId xmlns:a16="http://schemas.microsoft.com/office/drawing/2014/main" id="{00000000-0008-0000-0F00-000048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77" name="Text Box 214">
          <a:extLst>
            <a:ext uri="{FF2B5EF4-FFF2-40B4-BE49-F238E27FC236}">
              <a16:creationId xmlns:a16="http://schemas.microsoft.com/office/drawing/2014/main" id="{00000000-0008-0000-0F00-000049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78" name="Text Box 197">
          <a:extLst>
            <a:ext uri="{FF2B5EF4-FFF2-40B4-BE49-F238E27FC236}">
              <a16:creationId xmlns:a16="http://schemas.microsoft.com/office/drawing/2014/main" id="{00000000-0008-0000-0F00-00004A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79" name="Text Box 198">
          <a:extLst>
            <a:ext uri="{FF2B5EF4-FFF2-40B4-BE49-F238E27FC236}">
              <a16:creationId xmlns:a16="http://schemas.microsoft.com/office/drawing/2014/main" id="{00000000-0008-0000-0F00-00004B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80" name="Text Box 199">
          <a:extLst>
            <a:ext uri="{FF2B5EF4-FFF2-40B4-BE49-F238E27FC236}">
              <a16:creationId xmlns:a16="http://schemas.microsoft.com/office/drawing/2014/main" id="{00000000-0008-0000-0F00-00004C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81" name="Text Box 200">
          <a:extLst>
            <a:ext uri="{FF2B5EF4-FFF2-40B4-BE49-F238E27FC236}">
              <a16:creationId xmlns:a16="http://schemas.microsoft.com/office/drawing/2014/main" id="{00000000-0008-0000-0F00-00004D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82" name="Text Box 201">
          <a:extLst>
            <a:ext uri="{FF2B5EF4-FFF2-40B4-BE49-F238E27FC236}">
              <a16:creationId xmlns:a16="http://schemas.microsoft.com/office/drawing/2014/main" id="{00000000-0008-0000-0F00-00004E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83" name="Text Box 202">
          <a:extLst>
            <a:ext uri="{FF2B5EF4-FFF2-40B4-BE49-F238E27FC236}">
              <a16:creationId xmlns:a16="http://schemas.microsoft.com/office/drawing/2014/main" id="{00000000-0008-0000-0F00-00004F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84" name="Text Box 203">
          <a:extLst>
            <a:ext uri="{FF2B5EF4-FFF2-40B4-BE49-F238E27FC236}">
              <a16:creationId xmlns:a16="http://schemas.microsoft.com/office/drawing/2014/main" id="{00000000-0008-0000-0F00-000050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85" name="Text Box 204">
          <a:extLst>
            <a:ext uri="{FF2B5EF4-FFF2-40B4-BE49-F238E27FC236}">
              <a16:creationId xmlns:a16="http://schemas.microsoft.com/office/drawing/2014/main" id="{00000000-0008-0000-0F00-000051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14300" cy="945696"/>
    <xdr:sp macro="" textlink="">
      <xdr:nvSpPr>
        <xdr:cNvPr id="2386" name="Text Box 205">
          <a:extLst>
            <a:ext uri="{FF2B5EF4-FFF2-40B4-BE49-F238E27FC236}">
              <a16:creationId xmlns:a16="http://schemas.microsoft.com/office/drawing/2014/main" id="{00000000-0008-0000-0F00-000052090000}"/>
            </a:ext>
          </a:extLst>
        </xdr:cNvPr>
        <xdr:cNvSpPr txBox="1">
          <a:spLocks noChangeArrowheads="1"/>
        </xdr:cNvSpPr>
      </xdr:nvSpPr>
      <xdr:spPr bwMode="auto">
        <a:xfrm>
          <a:off x="6678083" y="7207250"/>
          <a:ext cx="114300" cy="945696"/>
        </a:xfrm>
        <a:prstGeom prst="rect">
          <a:avLst/>
        </a:prstGeom>
        <a:noFill/>
        <a:ln w="9525">
          <a:noFill/>
          <a:miter lim="800000"/>
          <a:headEnd/>
          <a:tailEnd/>
        </a:ln>
      </xdr:spPr>
    </xdr:sp>
    <xdr:clientData/>
  </xdr:oneCellAnchor>
  <xdr:oneCellAnchor>
    <xdr:from>
      <xdr:col>9</xdr:col>
      <xdr:colOff>0</xdr:colOff>
      <xdr:row>15</xdr:row>
      <xdr:rowOff>0</xdr:rowOff>
    </xdr:from>
    <xdr:ext cx="114300" cy="945696"/>
    <xdr:sp macro="" textlink="">
      <xdr:nvSpPr>
        <xdr:cNvPr id="2387" name="Text Box 206">
          <a:extLst>
            <a:ext uri="{FF2B5EF4-FFF2-40B4-BE49-F238E27FC236}">
              <a16:creationId xmlns:a16="http://schemas.microsoft.com/office/drawing/2014/main" id="{00000000-0008-0000-0F00-000053090000}"/>
            </a:ext>
          </a:extLst>
        </xdr:cNvPr>
        <xdr:cNvSpPr txBox="1">
          <a:spLocks noChangeArrowheads="1"/>
        </xdr:cNvSpPr>
      </xdr:nvSpPr>
      <xdr:spPr bwMode="auto">
        <a:xfrm>
          <a:off x="6678083" y="7207250"/>
          <a:ext cx="114300" cy="945696"/>
        </a:xfrm>
        <a:prstGeom prst="rect">
          <a:avLst/>
        </a:prstGeom>
        <a:noFill/>
        <a:ln w="9525">
          <a:noFill/>
          <a:miter lim="800000"/>
          <a:headEnd/>
          <a:tailEnd/>
        </a:ln>
      </xdr:spPr>
    </xdr:sp>
    <xdr:clientData/>
  </xdr:oneCellAnchor>
  <xdr:oneCellAnchor>
    <xdr:from>
      <xdr:col>9</xdr:col>
      <xdr:colOff>0</xdr:colOff>
      <xdr:row>15</xdr:row>
      <xdr:rowOff>0</xdr:rowOff>
    </xdr:from>
    <xdr:ext cx="123825" cy="945696"/>
    <xdr:sp macro="" textlink="">
      <xdr:nvSpPr>
        <xdr:cNvPr id="2388" name="Text Box 207">
          <a:extLst>
            <a:ext uri="{FF2B5EF4-FFF2-40B4-BE49-F238E27FC236}">
              <a16:creationId xmlns:a16="http://schemas.microsoft.com/office/drawing/2014/main" id="{00000000-0008-0000-0F00-000054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15</xdr:row>
      <xdr:rowOff>0</xdr:rowOff>
    </xdr:from>
    <xdr:ext cx="123825" cy="945696"/>
    <xdr:sp macro="" textlink="">
      <xdr:nvSpPr>
        <xdr:cNvPr id="2389" name="Text Box 208">
          <a:extLst>
            <a:ext uri="{FF2B5EF4-FFF2-40B4-BE49-F238E27FC236}">
              <a16:creationId xmlns:a16="http://schemas.microsoft.com/office/drawing/2014/main" id="{00000000-0008-0000-0F00-000055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15</xdr:row>
      <xdr:rowOff>0</xdr:rowOff>
    </xdr:from>
    <xdr:ext cx="123825" cy="945696"/>
    <xdr:sp macro="" textlink="">
      <xdr:nvSpPr>
        <xdr:cNvPr id="2390" name="Text Box 209">
          <a:extLst>
            <a:ext uri="{FF2B5EF4-FFF2-40B4-BE49-F238E27FC236}">
              <a16:creationId xmlns:a16="http://schemas.microsoft.com/office/drawing/2014/main" id="{00000000-0008-0000-0F00-000056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15</xdr:row>
      <xdr:rowOff>0</xdr:rowOff>
    </xdr:from>
    <xdr:ext cx="123825" cy="945696"/>
    <xdr:sp macro="" textlink="">
      <xdr:nvSpPr>
        <xdr:cNvPr id="2391" name="Text Box 210">
          <a:extLst>
            <a:ext uri="{FF2B5EF4-FFF2-40B4-BE49-F238E27FC236}">
              <a16:creationId xmlns:a16="http://schemas.microsoft.com/office/drawing/2014/main" id="{00000000-0008-0000-0F00-000057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92" name="Text Box 211">
          <a:extLst>
            <a:ext uri="{FF2B5EF4-FFF2-40B4-BE49-F238E27FC236}">
              <a16:creationId xmlns:a16="http://schemas.microsoft.com/office/drawing/2014/main" id="{00000000-0008-0000-0F00-000058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93" name="Text Box 212">
          <a:extLst>
            <a:ext uri="{FF2B5EF4-FFF2-40B4-BE49-F238E27FC236}">
              <a16:creationId xmlns:a16="http://schemas.microsoft.com/office/drawing/2014/main" id="{00000000-0008-0000-0F00-000059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94" name="Text Box 213">
          <a:extLst>
            <a:ext uri="{FF2B5EF4-FFF2-40B4-BE49-F238E27FC236}">
              <a16:creationId xmlns:a16="http://schemas.microsoft.com/office/drawing/2014/main" id="{00000000-0008-0000-0F00-00005A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15</xdr:row>
      <xdr:rowOff>0</xdr:rowOff>
    </xdr:from>
    <xdr:ext cx="123825" cy="831396"/>
    <xdr:sp macro="" textlink="">
      <xdr:nvSpPr>
        <xdr:cNvPr id="2395" name="Text Box 214">
          <a:extLst>
            <a:ext uri="{FF2B5EF4-FFF2-40B4-BE49-F238E27FC236}">
              <a16:creationId xmlns:a16="http://schemas.microsoft.com/office/drawing/2014/main" id="{00000000-0008-0000-0F00-00005B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396" name="Text Box 216">
          <a:extLst>
            <a:ext uri="{FF2B5EF4-FFF2-40B4-BE49-F238E27FC236}">
              <a16:creationId xmlns:a16="http://schemas.microsoft.com/office/drawing/2014/main" id="{00000000-0008-0000-0F00-00005C090000}"/>
            </a:ext>
          </a:extLst>
        </xdr:cNvPr>
        <xdr:cNvSpPr txBox="1">
          <a:spLocks noChangeArrowheads="1"/>
        </xdr:cNvSpPr>
      </xdr:nvSpPr>
      <xdr:spPr bwMode="auto">
        <a:xfrm>
          <a:off x="6678083" y="7884583"/>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397" name="Text Box 217">
          <a:extLst>
            <a:ext uri="{FF2B5EF4-FFF2-40B4-BE49-F238E27FC236}">
              <a16:creationId xmlns:a16="http://schemas.microsoft.com/office/drawing/2014/main" id="{00000000-0008-0000-0F00-00005D090000}"/>
            </a:ext>
          </a:extLst>
        </xdr:cNvPr>
        <xdr:cNvSpPr txBox="1">
          <a:spLocks noChangeArrowheads="1"/>
        </xdr:cNvSpPr>
      </xdr:nvSpPr>
      <xdr:spPr bwMode="auto">
        <a:xfrm>
          <a:off x="6678083" y="7884583"/>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398" name="Text Box 218">
          <a:extLst>
            <a:ext uri="{FF2B5EF4-FFF2-40B4-BE49-F238E27FC236}">
              <a16:creationId xmlns:a16="http://schemas.microsoft.com/office/drawing/2014/main" id="{00000000-0008-0000-0F00-00005E090000}"/>
            </a:ext>
          </a:extLst>
        </xdr:cNvPr>
        <xdr:cNvSpPr txBox="1">
          <a:spLocks noChangeArrowheads="1"/>
        </xdr:cNvSpPr>
      </xdr:nvSpPr>
      <xdr:spPr bwMode="auto">
        <a:xfrm>
          <a:off x="6678083" y="7884583"/>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399" name="Text Box 219">
          <a:extLst>
            <a:ext uri="{FF2B5EF4-FFF2-40B4-BE49-F238E27FC236}">
              <a16:creationId xmlns:a16="http://schemas.microsoft.com/office/drawing/2014/main" id="{00000000-0008-0000-0F00-00005F090000}"/>
            </a:ext>
          </a:extLst>
        </xdr:cNvPr>
        <xdr:cNvSpPr txBox="1">
          <a:spLocks noChangeArrowheads="1"/>
        </xdr:cNvSpPr>
      </xdr:nvSpPr>
      <xdr:spPr bwMode="auto">
        <a:xfrm>
          <a:off x="6678083" y="7884583"/>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00" name="Text Box 220">
          <a:extLst>
            <a:ext uri="{FF2B5EF4-FFF2-40B4-BE49-F238E27FC236}">
              <a16:creationId xmlns:a16="http://schemas.microsoft.com/office/drawing/2014/main" id="{00000000-0008-0000-0F00-000060090000}"/>
            </a:ext>
          </a:extLst>
        </xdr:cNvPr>
        <xdr:cNvSpPr txBox="1">
          <a:spLocks noChangeArrowheads="1"/>
        </xdr:cNvSpPr>
      </xdr:nvSpPr>
      <xdr:spPr bwMode="auto">
        <a:xfrm>
          <a:off x="6678083" y="7884583"/>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01" name="Text Box 221">
          <a:extLst>
            <a:ext uri="{FF2B5EF4-FFF2-40B4-BE49-F238E27FC236}">
              <a16:creationId xmlns:a16="http://schemas.microsoft.com/office/drawing/2014/main" id="{00000000-0008-0000-0F00-000061090000}"/>
            </a:ext>
          </a:extLst>
        </xdr:cNvPr>
        <xdr:cNvSpPr txBox="1">
          <a:spLocks noChangeArrowheads="1"/>
        </xdr:cNvSpPr>
      </xdr:nvSpPr>
      <xdr:spPr bwMode="auto">
        <a:xfrm>
          <a:off x="6678083" y="7884583"/>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02" name="Text Box 222">
          <a:extLst>
            <a:ext uri="{FF2B5EF4-FFF2-40B4-BE49-F238E27FC236}">
              <a16:creationId xmlns:a16="http://schemas.microsoft.com/office/drawing/2014/main" id="{00000000-0008-0000-0F00-000062090000}"/>
            </a:ext>
          </a:extLst>
        </xdr:cNvPr>
        <xdr:cNvSpPr txBox="1">
          <a:spLocks noChangeArrowheads="1"/>
        </xdr:cNvSpPr>
      </xdr:nvSpPr>
      <xdr:spPr bwMode="auto">
        <a:xfrm>
          <a:off x="6678083" y="7884583"/>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03" name="Text Box 223">
          <a:extLst>
            <a:ext uri="{FF2B5EF4-FFF2-40B4-BE49-F238E27FC236}">
              <a16:creationId xmlns:a16="http://schemas.microsoft.com/office/drawing/2014/main" id="{00000000-0008-0000-0F00-000063090000}"/>
            </a:ext>
          </a:extLst>
        </xdr:cNvPr>
        <xdr:cNvSpPr txBox="1">
          <a:spLocks noChangeArrowheads="1"/>
        </xdr:cNvSpPr>
      </xdr:nvSpPr>
      <xdr:spPr bwMode="auto">
        <a:xfrm>
          <a:off x="6678083" y="7884583"/>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04" name="Text Box 230">
          <a:extLst>
            <a:ext uri="{FF2B5EF4-FFF2-40B4-BE49-F238E27FC236}">
              <a16:creationId xmlns:a16="http://schemas.microsoft.com/office/drawing/2014/main" id="{00000000-0008-0000-0F00-000064090000}"/>
            </a:ext>
          </a:extLst>
        </xdr:cNvPr>
        <xdr:cNvSpPr txBox="1">
          <a:spLocks noChangeArrowheads="1"/>
        </xdr:cNvSpPr>
      </xdr:nvSpPr>
      <xdr:spPr bwMode="auto">
        <a:xfrm>
          <a:off x="6678083" y="7884583"/>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05" name="Text Box 231">
          <a:extLst>
            <a:ext uri="{FF2B5EF4-FFF2-40B4-BE49-F238E27FC236}">
              <a16:creationId xmlns:a16="http://schemas.microsoft.com/office/drawing/2014/main" id="{00000000-0008-0000-0F00-000065090000}"/>
            </a:ext>
          </a:extLst>
        </xdr:cNvPr>
        <xdr:cNvSpPr txBox="1">
          <a:spLocks noChangeArrowheads="1"/>
        </xdr:cNvSpPr>
      </xdr:nvSpPr>
      <xdr:spPr bwMode="auto">
        <a:xfrm>
          <a:off x="6678083" y="7884583"/>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06" name="Text Box 232">
          <a:extLst>
            <a:ext uri="{FF2B5EF4-FFF2-40B4-BE49-F238E27FC236}">
              <a16:creationId xmlns:a16="http://schemas.microsoft.com/office/drawing/2014/main" id="{00000000-0008-0000-0F00-000066090000}"/>
            </a:ext>
          </a:extLst>
        </xdr:cNvPr>
        <xdr:cNvSpPr txBox="1">
          <a:spLocks noChangeArrowheads="1"/>
        </xdr:cNvSpPr>
      </xdr:nvSpPr>
      <xdr:spPr bwMode="auto">
        <a:xfrm>
          <a:off x="6678083" y="7884583"/>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07" name="Text Box 233">
          <a:extLst>
            <a:ext uri="{FF2B5EF4-FFF2-40B4-BE49-F238E27FC236}">
              <a16:creationId xmlns:a16="http://schemas.microsoft.com/office/drawing/2014/main" id="{00000000-0008-0000-0F00-000067090000}"/>
            </a:ext>
          </a:extLst>
        </xdr:cNvPr>
        <xdr:cNvSpPr txBox="1">
          <a:spLocks noChangeArrowheads="1"/>
        </xdr:cNvSpPr>
      </xdr:nvSpPr>
      <xdr:spPr bwMode="auto">
        <a:xfrm>
          <a:off x="6678083" y="7884583"/>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08" name="Text Box 234">
          <a:extLst>
            <a:ext uri="{FF2B5EF4-FFF2-40B4-BE49-F238E27FC236}">
              <a16:creationId xmlns:a16="http://schemas.microsoft.com/office/drawing/2014/main" id="{00000000-0008-0000-0F00-000068090000}"/>
            </a:ext>
          </a:extLst>
        </xdr:cNvPr>
        <xdr:cNvSpPr txBox="1">
          <a:spLocks noChangeArrowheads="1"/>
        </xdr:cNvSpPr>
      </xdr:nvSpPr>
      <xdr:spPr bwMode="auto">
        <a:xfrm>
          <a:off x="6678083" y="7884583"/>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09" name="Text Box 197">
          <a:extLst>
            <a:ext uri="{FF2B5EF4-FFF2-40B4-BE49-F238E27FC236}">
              <a16:creationId xmlns:a16="http://schemas.microsoft.com/office/drawing/2014/main" id="{00000000-0008-0000-0F00-000069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10" name="Text Box 198">
          <a:extLst>
            <a:ext uri="{FF2B5EF4-FFF2-40B4-BE49-F238E27FC236}">
              <a16:creationId xmlns:a16="http://schemas.microsoft.com/office/drawing/2014/main" id="{00000000-0008-0000-0F00-00006A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11" name="Text Box 199">
          <a:extLst>
            <a:ext uri="{FF2B5EF4-FFF2-40B4-BE49-F238E27FC236}">
              <a16:creationId xmlns:a16="http://schemas.microsoft.com/office/drawing/2014/main" id="{00000000-0008-0000-0F00-00006B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12" name="Text Box 200">
          <a:extLst>
            <a:ext uri="{FF2B5EF4-FFF2-40B4-BE49-F238E27FC236}">
              <a16:creationId xmlns:a16="http://schemas.microsoft.com/office/drawing/2014/main" id="{00000000-0008-0000-0F00-00006C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13" name="Text Box 201">
          <a:extLst>
            <a:ext uri="{FF2B5EF4-FFF2-40B4-BE49-F238E27FC236}">
              <a16:creationId xmlns:a16="http://schemas.microsoft.com/office/drawing/2014/main" id="{00000000-0008-0000-0F00-00006D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14" name="Text Box 202">
          <a:extLst>
            <a:ext uri="{FF2B5EF4-FFF2-40B4-BE49-F238E27FC236}">
              <a16:creationId xmlns:a16="http://schemas.microsoft.com/office/drawing/2014/main" id="{00000000-0008-0000-0F00-00006E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15" name="Text Box 203">
          <a:extLst>
            <a:ext uri="{FF2B5EF4-FFF2-40B4-BE49-F238E27FC236}">
              <a16:creationId xmlns:a16="http://schemas.microsoft.com/office/drawing/2014/main" id="{00000000-0008-0000-0F00-00006F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16" name="Text Box 204">
          <a:extLst>
            <a:ext uri="{FF2B5EF4-FFF2-40B4-BE49-F238E27FC236}">
              <a16:creationId xmlns:a16="http://schemas.microsoft.com/office/drawing/2014/main" id="{00000000-0008-0000-0F00-000070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14300" cy="945696"/>
    <xdr:sp macro="" textlink="">
      <xdr:nvSpPr>
        <xdr:cNvPr id="2417" name="Text Box 205">
          <a:extLst>
            <a:ext uri="{FF2B5EF4-FFF2-40B4-BE49-F238E27FC236}">
              <a16:creationId xmlns:a16="http://schemas.microsoft.com/office/drawing/2014/main" id="{00000000-0008-0000-0F00-000071090000}"/>
            </a:ext>
          </a:extLst>
        </xdr:cNvPr>
        <xdr:cNvSpPr txBox="1">
          <a:spLocks noChangeArrowheads="1"/>
        </xdr:cNvSpPr>
      </xdr:nvSpPr>
      <xdr:spPr bwMode="auto">
        <a:xfrm>
          <a:off x="6678083" y="7884583"/>
          <a:ext cx="114300" cy="945696"/>
        </a:xfrm>
        <a:prstGeom prst="rect">
          <a:avLst/>
        </a:prstGeom>
        <a:noFill/>
        <a:ln w="9525">
          <a:noFill/>
          <a:miter lim="800000"/>
          <a:headEnd/>
          <a:tailEnd/>
        </a:ln>
      </xdr:spPr>
    </xdr:sp>
    <xdr:clientData/>
  </xdr:oneCellAnchor>
  <xdr:oneCellAnchor>
    <xdr:from>
      <xdr:col>9</xdr:col>
      <xdr:colOff>0</xdr:colOff>
      <xdr:row>16</xdr:row>
      <xdr:rowOff>0</xdr:rowOff>
    </xdr:from>
    <xdr:ext cx="114300" cy="945696"/>
    <xdr:sp macro="" textlink="">
      <xdr:nvSpPr>
        <xdr:cNvPr id="2418" name="Text Box 206">
          <a:extLst>
            <a:ext uri="{FF2B5EF4-FFF2-40B4-BE49-F238E27FC236}">
              <a16:creationId xmlns:a16="http://schemas.microsoft.com/office/drawing/2014/main" id="{00000000-0008-0000-0F00-000072090000}"/>
            </a:ext>
          </a:extLst>
        </xdr:cNvPr>
        <xdr:cNvSpPr txBox="1">
          <a:spLocks noChangeArrowheads="1"/>
        </xdr:cNvSpPr>
      </xdr:nvSpPr>
      <xdr:spPr bwMode="auto">
        <a:xfrm>
          <a:off x="6678083" y="7884583"/>
          <a:ext cx="114300"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19" name="Text Box 207">
          <a:extLst>
            <a:ext uri="{FF2B5EF4-FFF2-40B4-BE49-F238E27FC236}">
              <a16:creationId xmlns:a16="http://schemas.microsoft.com/office/drawing/2014/main" id="{00000000-0008-0000-0F00-000073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20" name="Text Box 208">
          <a:extLst>
            <a:ext uri="{FF2B5EF4-FFF2-40B4-BE49-F238E27FC236}">
              <a16:creationId xmlns:a16="http://schemas.microsoft.com/office/drawing/2014/main" id="{00000000-0008-0000-0F00-000074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21" name="Text Box 209">
          <a:extLst>
            <a:ext uri="{FF2B5EF4-FFF2-40B4-BE49-F238E27FC236}">
              <a16:creationId xmlns:a16="http://schemas.microsoft.com/office/drawing/2014/main" id="{00000000-0008-0000-0F00-000075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22" name="Text Box 210">
          <a:extLst>
            <a:ext uri="{FF2B5EF4-FFF2-40B4-BE49-F238E27FC236}">
              <a16:creationId xmlns:a16="http://schemas.microsoft.com/office/drawing/2014/main" id="{00000000-0008-0000-0F00-000076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23" name="Text Box 211">
          <a:extLst>
            <a:ext uri="{FF2B5EF4-FFF2-40B4-BE49-F238E27FC236}">
              <a16:creationId xmlns:a16="http://schemas.microsoft.com/office/drawing/2014/main" id="{00000000-0008-0000-0F00-000077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24" name="Text Box 212">
          <a:extLst>
            <a:ext uri="{FF2B5EF4-FFF2-40B4-BE49-F238E27FC236}">
              <a16:creationId xmlns:a16="http://schemas.microsoft.com/office/drawing/2014/main" id="{00000000-0008-0000-0F00-000078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25" name="Text Box 213">
          <a:extLst>
            <a:ext uri="{FF2B5EF4-FFF2-40B4-BE49-F238E27FC236}">
              <a16:creationId xmlns:a16="http://schemas.microsoft.com/office/drawing/2014/main" id="{00000000-0008-0000-0F00-000079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26" name="Text Box 214">
          <a:extLst>
            <a:ext uri="{FF2B5EF4-FFF2-40B4-BE49-F238E27FC236}">
              <a16:creationId xmlns:a16="http://schemas.microsoft.com/office/drawing/2014/main" id="{00000000-0008-0000-0F00-00007A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27" name="Text Box 197">
          <a:extLst>
            <a:ext uri="{FF2B5EF4-FFF2-40B4-BE49-F238E27FC236}">
              <a16:creationId xmlns:a16="http://schemas.microsoft.com/office/drawing/2014/main" id="{00000000-0008-0000-0F00-00007B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28" name="Text Box 198">
          <a:extLst>
            <a:ext uri="{FF2B5EF4-FFF2-40B4-BE49-F238E27FC236}">
              <a16:creationId xmlns:a16="http://schemas.microsoft.com/office/drawing/2014/main" id="{00000000-0008-0000-0F00-00007C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29" name="Text Box 199">
          <a:extLst>
            <a:ext uri="{FF2B5EF4-FFF2-40B4-BE49-F238E27FC236}">
              <a16:creationId xmlns:a16="http://schemas.microsoft.com/office/drawing/2014/main" id="{00000000-0008-0000-0F00-00007D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30" name="Text Box 200">
          <a:extLst>
            <a:ext uri="{FF2B5EF4-FFF2-40B4-BE49-F238E27FC236}">
              <a16:creationId xmlns:a16="http://schemas.microsoft.com/office/drawing/2014/main" id="{00000000-0008-0000-0F00-00007E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31" name="Text Box 201">
          <a:extLst>
            <a:ext uri="{FF2B5EF4-FFF2-40B4-BE49-F238E27FC236}">
              <a16:creationId xmlns:a16="http://schemas.microsoft.com/office/drawing/2014/main" id="{00000000-0008-0000-0F00-00007F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32" name="Text Box 202">
          <a:extLst>
            <a:ext uri="{FF2B5EF4-FFF2-40B4-BE49-F238E27FC236}">
              <a16:creationId xmlns:a16="http://schemas.microsoft.com/office/drawing/2014/main" id="{00000000-0008-0000-0F00-000080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33" name="Text Box 203">
          <a:extLst>
            <a:ext uri="{FF2B5EF4-FFF2-40B4-BE49-F238E27FC236}">
              <a16:creationId xmlns:a16="http://schemas.microsoft.com/office/drawing/2014/main" id="{00000000-0008-0000-0F00-000081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34" name="Text Box 204">
          <a:extLst>
            <a:ext uri="{FF2B5EF4-FFF2-40B4-BE49-F238E27FC236}">
              <a16:creationId xmlns:a16="http://schemas.microsoft.com/office/drawing/2014/main" id="{00000000-0008-0000-0F00-000082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14300" cy="945696"/>
    <xdr:sp macro="" textlink="">
      <xdr:nvSpPr>
        <xdr:cNvPr id="2435" name="Text Box 205">
          <a:extLst>
            <a:ext uri="{FF2B5EF4-FFF2-40B4-BE49-F238E27FC236}">
              <a16:creationId xmlns:a16="http://schemas.microsoft.com/office/drawing/2014/main" id="{00000000-0008-0000-0F00-000083090000}"/>
            </a:ext>
          </a:extLst>
        </xdr:cNvPr>
        <xdr:cNvSpPr txBox="1">
          <a:spLocks noChangeArrowheads="1"/>
        </xdr:cNvSpPr>
      </xdr:nvSpPr>
      <xdr:spPr bwMode="auto">
        <a:xfrm>
          <a:off x="6678083" y="7884583"/>
          <a:ext cx="114300" cy="945696"/>
        </a:xfrm>
        <a:prstGeom prst="rect">
          <a:avLst/>
        </a:prstGeom>
        <a:noFill/>
        <a:ln w="9525">
          <a:noFill/>
          <a:miter lim="800000"/>
          <a:headEnd/>
          <a:tailEnd/>
        </a:ln>
      </xdr:spPr>
    </xdr:sp>
    <xdr:clientData/>
  </xdr:oneCellAnchor>
  <xdr:oneCellAnchor>
    <xdr:from>
      <xdr:col>9</xdr:col>
      <xdr:colOff>0</xdr:colOff>
      <xdr:row>16</xdr:row>
      <xdr:rowOff>0</xdr:rowOff>
    </xdr:from>
    <xdr:ext cx="114300" cy="945696"/>
    <xdr:sp macro="" textlink="">
      <xdr:nvSpPr>
        <xdr:cNvPr id="2436" name="Text Box 206">
          <a:extLst>
            <a:ext uri="{FF2B5EF4-FFF2-40B4-BE49-F238E27FC236}">
              <a16:creationId xmlns:a16="http://schemas.microsoft.com/office/drawing/2014/main" id="{00000000-0008-0000-0F00-000084090000}"/>
            </a:ext>
          </a:extLst>
        </xdr:cNvPr>
        <xdr:cNvSpPr txBox="1">
          <a:spLocks noChangeArrowheads="1"/>
        </xdr:cNvSpPr>
      </xdr:nvSpPr>
      <xdr:spPr bwMode="auto">
        <a:xfrm>
          <a:off x="6678083" y="7884583"/>
          <a:ext cx="114300"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37" name="Text Box 207">
          <a:extLst>
            <a:ext uri="{FF2B5EF4-FFF2-40B4-BE49-F238E27FC236}">
              <a16:creationId xmlns:a16="http://schemas.microsoft.com/office/drawing/2014/main" id="{00000000-0008-0000-0F00-000085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38" name="Text Box 208">
          <a:extLst>
            <a:ext uri="{FF2B5EF4-FFF2-40B4-BE49-F238E27FC236}">
              <a16:creationId xmlns:a16="http://schemas.microsoft.com/office/drawing/2014/main" id="{00000000-0008-0000-0F00-000086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39" name="Text Box 209">
          <a:extLst>
            <a:ext uri="{FF2B5EF4-FFF2-40B4-BE49-F238E27FC236}">
              <a16:creationId xmlns:a16="http://schemas.microsoft.com/office/drawing/2014/main" id="{00000000-0008-0000-0F00-000087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40" name="Text Box 210">
          <a:extLst>
            <a:ext uri="{FF2B5EF4-FFF2-40B4-BE49-F238E27FC236}">
              <a16:creationId xmlns:a16="http://schemas.microsoft.com/office/drawing/2014/main" id="{00000000-0008-0000-0F00-000088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41" name="Text Box 211">
          <a:extLst>
            <a:ext uri="{FF2B5EF4-FFF2-40B4-BE49-F238E27FC236}">
              <a16:creationId xmlns:a16="http://schemas.microsoft.com/office/drawing/2014/main" id="{00000000-0008-0000-0F00-000089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42" name="Text Box 212">
          <a:extLst>
            <a:ext uri="{FF2B5EF4-FFF2-40B4-BE49-F238E27FC236}">
              <a16:creationId xmlns:a16="http://schemas.microsoft.com/office/drawing/2014/main" id="{00000000-0008-0000-0F00-00008A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43" name="Text Box 213">
          <a:extLst>
            <a:ext uri="{FF2B5EF4-FFF2-40B4-BE49-F238E27FC236}">
              <a16:creationId xmlns:a16="http://schemas.microsoft.com/office/drawing/2014/main" id="{00000000-0008-0000-0F00-00008B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44" name="Text Box 214">
          <a:extLst>
            <a:ext uri="{FF2B5EF4-FFF2-40B4-BE49-F238E27FC236}">
              <a16:creationId xmlns:a16="http://schemas.microsoft.com/office/drawing/2014/main" id="{00000000-0008-0000-0F00-00008C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45" name="Text Box 216">
          <a:extLst>
            <a:ext uri="{FF2B5EF4-FFF2-40B4-BE49-F238E27FC236}">
              <a16:creationId xmlns:a16="http://schemas.microsoft.com/office/drawing/2014/main" id="{00000000-0008-0000-0F00-00008D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46" name="Text Box 217">
          <a:extLst>
            <a:ext uri="{FF2B5EF4-FFF2-40B4-BE49-F238E27FC236}">
              <a16:creationId xmlns:a16="http://schemas.microsoft.com/office/drawing/2014/main" id="{00000000-0008-0000-0F00-00008E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47" name="Text Box 218">
          <a:extLst>
            <a:ext uri="{FF2B5EF4-FFF2-40B4-BE49-F238E27FC236}">
              <a16:creationId xmlns:a16="http://schemas.microsoft.com/office/drawing/2014/main" id="{00000000-0008-0000-0F00-00008F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48" name="Text Box 219">
          <a:extLst>
            <a:ext uri="{FF2B5EF4-FFF2-40B4-BE49-F238E27FC236}">
              <a16:creationId xmlns:a16="http://schemas.microsoft.com/office/drawing/2014/main" id="{00000000-0008-0000-0F00-000090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49" name="Text Box 220">
          <a:extLst>
            <a:ext uri="{FF2B5EF4-FFF2-40B4-BE49-F238E27FC236}">
              <a16:creationId xmlns:a16="http://schemas.microsoft.com/office/drawing/2014/main" id="{00000000-0008-0000-0F00-000091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50" name="Text Box 221">
          <a:extLst>
            <a:ext uri="{FF2B5EF4-FFF2-40B4-BE49-F238E27FC236}">
              <a16:creationId xmlns:a16="http://schemas.microsoft.com/office/drawing/2014/main" id="{00000000-0008-0000-0F00-000092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51" name="Text Box 222">
          <a:extLst>
            <a:ext uri="{FF2B5EF4-FFF2-40B4-BE49-F238E27FC236}">
              <a16:creationId xmlns:a16="http://schemas.microsoft.com/office/drawing/2014/main" id="{00000000-0008-0000-0F00-000093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52" name="Text Box 223">
          <a:extLst>
            <a:ext uri="{FF2B5EF4-FFF2-40B4-BE49-F238E27FC236}">
              <a16:creationId xmlns:a16="http://schemas.microsoft.com/office/drawing/2014/main" id="{00000000-0008-0000-0F00-000094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53" name="Text Box 230">
          <a:extLst>
            <a:ext uri="{FF2B5EF4-FFF2-40B4-BE49-F238E27FC236}">
              <a16:creationId xmlns:a16="http://schemas.microsoft.com/office/drawing/2014/main" id="{00000000-0008-0000-0F00-000095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54" name="Text Box 231">
          <a:extLst>
            <a:ext uri="{FF2B5EF4-FFF2-40B4-BE49-F238E27FC236}">
              <a16:creationId xmlns:a16="http://schemas.microsoft.com/office/drawing/2014/main" id="{00000000-0008-0000-0F00-000096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55" name="Text Box 232">
          <a:extLst>
            <a:ext uri="{FF2B5EF4-FFF2-40B4-BE49-F238E27FC236}">
              <a16:creationId xmlns:a16="http://schemas.microsoft.com/office/drawing/2014/main" id="{00000000-0008-0000-0F00-000097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56" name="Text Box 233">
          <a:extLst>
            <a:ext uri="{FF2B5EF4-FFF2-40B4-BE49-F238E27FC236}">
              <a16:creationId xmlns:a16="http://schemas.microsoft.com/office/drawing/2014/main" id="{00000000-0008-0000-0F00-000098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1522640"/>
    <xdr:sp macro="" textlink="">
      <xdr:nvSpPr>
        <xdr:cNvPr id="2457" name="Text Box 234">
          <a:extLst>
            <a:ext uri="{FF2B5EF4-FFF2-40B4-BE49-F238E27FC236}">
              <a16:creationId xmlns:a16="http://schemas.microsoft.com/office/drawing/2014/main" id="{00000000-0008-0000-0F00-000099090000}"/>
            </a:ext>
          </a:extLst>
        </xdr:cNvPr>
        <xdr:cNvSpPr txBox="1">
          <a:spLocks noChangeArrowheads="1"/>
        </xdr:cNvSpPr>
      </xdr:nvSpPr>
      <xdr:spPr bwMode="auto">
        <a:xfrm>
          <a:off x="6678083" y="7207250"/>
          <a:ext cx="123825" cy="1522640"/>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58" name="Text Box 197">
          <a:extLst>
            <a:ext uri="{FF2B5EF4-FFF2-40B4-BE49-F238E27FC236}">
              <a16:creationId xmlns:a16="http://schemas.microsoft.com/office/drawing/2014/main" id="{00000000-0008-0000-0F00-00009A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59" name="Text Box 198">
          <a:extLst>
            <a:ext uri="{FF2B5EF4-FFF2-40B4-BE49-F238E27FC236}">
              <a16:creationId xmlns:a16="http://schemas.microsoft.com/office/drawing/2014/main" id="{00000000-0008-0000-0F00-00009B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60" name="Text Box 199">
          <a:extLst>
            <a:ext uri="{FF2B5EF4-FFF2-40B4-BE49-F238E27FC236}">
              <a16:creationId xmlns:a16="http://schemas.microsoft.com/office/drawing/2014/main" id="{00000000-0008-0000-0F00-00009C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61" name="Text Box 200">
          <a:extLst>
            <a:ext uri="{FF2B5EF4-FFF2-40B4-BE49-F238E27FC236}">
              <a16:creationId xmlns:a16="http://schemas.microsoft.com/office/drawing/2014/main" id="{00000000-0008-0000-0F00-00009D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62" name="Text Box 201">
          <a:extLst>
            <a:ext uri="{FF2B5EF4-FFF2-40B4-BE49-F238E27FC236}">
              <a16:creationId xmlns:a16="http://schemas.microsoft.com/office/drawing/2014/main" id="{00000000-0008-0000-0F00-00009E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63" name="Text Box 202">
          <a:extLst>
            <a:ext uri="{FF2B5EF4-FFF2-40B4-BE49-F238E27FC236}">
              <a16:creationId xmlns:a16="http://schemas.microsoft.com/office/drawing/2014/main" id="{00000000-0008-0000-0F00-00009F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64" name="Text Box 203">
          <a:extLst>
            <a:ext uri="{FF2B5EF4-FFF2-40B4-BE49-F238E27FC236}">
              <a16:creationId xmlns:a16="http://schemas.microsoft.com/office/drawing/2014/main" id="{00000000-0008-0000-0F00-0000A0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65" name="Text Box 204">
          <a:extLst>
            <a:ext uri="{FF2B5EF4-FFF2-40B4-BE49-F238E27FC236}">
              <a16:creationId xmlns:a16="http://schemas.microsoft.com/office/drawing/2014/main" id="{00000000-0008-0000-0F00-0000A1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14300" cy="945696"/>
    <xdr:sp macro="" textlink="">
      <xdr:nvSpPr>
        <xdr:cNvPr id="2466" name="Text Box 205">
          <a:extLst>
            <a:ext uri="{FF2B5EF4-FFF2-40B4-BE49-F238E27FC236}">
              <a16:creationId xmlns:a16="http://schemas.microsoft.com/office/drawing/2014/main" id="{00000000-0008-0000-0F00-0000A2090000}"/>
            </a:ext>
          </a:extLst>
        </xdr:cNvPr>
        <xdr:cNvSpPr txBox="1">
          <a:spLocks noChangeArrowheads="1"/>
        </xdr:cNvSpPr>
      </xdr:nvSpPr>
      <xdr:spPr bwMode="auto">
        <a:xfrm>
          <a:off x="6678083" y="7207250"/>
          <a:ext cx="114300" cy="945696"/>
        </a:xfrm>
        <a:prstGeom prst="rect">
          <a:avLst/>
        </a:prstGeom>
        <a:noFill/>
        <a:ln w="9525">
          <a:noFill/>
          <a:miter lim="800000"/>
          <a:headEnd/>
          <a:tailEnd/>
        </a:ln>
      </xdr:spPr>
    </xdr:sp>
    <xdr:clientData/>
  </xdr:oneCellAnchor>
  <xdr:oneCellAnchor>
    <xdr:from>
      <xdr:col>9</xdr:col>
      <xdr:colOff>0</xdr:colOff>
      <xdr:row>16</xdr:row>
      <xdr:rowOff>0</xdr:rowOff>
    </xdr:from>
    <xdr:ext cx="114300" cy="945696"/>
    <xdr:sp macro="" textlink="">
      <xdr:nvSpPr>
        <xdr:cNvPr id="2467" name="Text Box 206">
          <a:extLst>
            <a:ext uri="{FF2B5EF4-FFF2-40B4-BE49-F238E27FC236}">
              <a16:creationId xmlns:a16="http://schemas.microsoft.com/office/drawing/2014/main" id="{00000000-0008-0000-0F00-0000A3090000}"/>
            </a:ext>
          </a:extLst>
        </xdr:cNvPr>
        <xdr:cNvSpPr txBox="1">
          <a:spLocks noChangeArrowheads="1"/>
        </xdr:cNvSpPr>
      </xdr:nvSpPr>
      <xdr:spPr bwMode="auto">
        <a:xfrm>
          <a:off x="6678083" y="7207250"/>
          <a:ext cx="114300"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68" name="Text Box 207">
          <a:extLst>
            <a:ext uri="{FF2B5EF4-FFF2-40B4-BE49-F238E27FC236}">
              <a16:creationId xmlns:a16="http://schemas.microsoft.com/office/drawing/2014/main" id="{00000000-0008-0000-0F00-0000A4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69" name="Text Box 208">
          <a:extLst>
            <a:ext uri="{FF2B5EF4-FFF2-40B4-BE49-F238E27FC236}">
              <a16:creationId xmlns:a16="http://schemas.microsoft.com/office/drawing/2014/main" id="{00000000-0008-0000-0F00-0000A5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70" name="Text Box 209">
          <a:extLst>
            <a:ext uri="{FF2B5EF4-FFF2-40B4-BE49-F238E27FC236}">
              <a16:creationId xmlns:a16="http://schemas.microsoft.com/office/drawing/2014/main" id="{00000000-0008-0000-0F00-0000A6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71" name="Text Box 210">
          <a:extLst>
            <a:ext uri="{FF2B5EF4-FFF2-40B4-BE49-F238E27FC236}">
              <a16:creationId xmlns:a16="http://schemas.microsoft.com/office/drawing/2014/main" id="{00000000-0008-0000-0F00-0000A7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72" name="Text Box 211">
          <a:extLst>
            <a:ext uri="{FF2B5EF4-FFF2-40B4-BE49-F238E27FC236}">
              <a16:creationId xmlns:a16="http://schemas.microsoft.com/office/drawing/2014/main" id="{00000000-0008-0000-0F00-0000A8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73" name="Text Box 212">
          <a:extLst>
            <a:ext uri="{FF2B5EF4-FFF2-40B4-BE49-F238E27FC236}">
              <a16:creationId xmlns:a16="http://schemas.microsoft.com/office/drawing/2014/main" id="{00000000-0008-0000-0F00-0000A9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74" name="Text Box 213">
          <a:extLst>
            <a:ext uri="{FF2B5EF4-FFF2-40B4-BE49-F238E27FC236}">
              <a16:creationId xmlns:a16="http://schemas.microsoft.com/office/drawing/2014/main" id="{00000000-0008-0000-0F00-0000AA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75" name="Text Box 214">
          <a:extLst>
            <a:ext uri="{FF2B5EF4-FFF2-40B4-BE49-F238E27FC236}">
              <a16:creationId xmlns:a16="http://schemas.microsoft.com/office/drawing/2014/main" id="{00000000-0008-0000-0F00-0000AB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76" name="Text Box 197">
          <a:extLst>
            <a:ext uri="{FF2B5EF4-FFF2-40B4-BE49-F238E27FC236}">
              <a16:creationId xmlns:a16="http://schemas.microsoft.com/office/drawing/2014/main" id="{00000000-0008-0000-0F00-0000AC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77" name="Text Box 198">
          <a:extLst>
            <a:ext uri="{FF2B5EF4-FFF2-40B4-BE49-F238E27FC236}">
              <a16:creationId xmlns:a16="http://schemas.microsoft.com/office/drawing/2014/main" id="{00000000-0008-0000-0F00-0000AD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78" name="Text Box 199">
          <a:extLst>
            <a:ext uri="{FF2B5EF4-FFF2-40B4-BE49-F238E27FC236}">
              <a16:creationId xmlns:a16="http://schemas.microsoft.com/office/drawing/2014/main" id="{00000000-0008-0000-0F00-0000AE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79" name="Text Box 200">
          <a:extLst>
            <a:ext uri="{FF2B5EF4-FFF2-40B4-BE49-F238E27FC236}">
              <a16:creationId xmlns:a16="http://schemas.microsoft.com/office/drawing/2014/main" id="{00000000-0008-0000-0F00-0000AF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80" name="Text Box 201">
          <a:extLst>
            <a:ext uri="{FF2B5EF4-FFF2-40B4-BE49-F238E27FC236}">
              <a16:creationId xmlns:a16="http://schemas.microsoft.com/office/drawing/2014/main" id="{00000000-0008-0000-0F00-0000B0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81" name="Text Box 202">
          <a:extLst>
            <a:ext uri="{FF2B5EF4-FFF2-40B4-BE49-F238E27FC236}">
              <a16:creationId xmlns:a16="http://schemas.microsoft.com/office/drawing/2014/main" id="{00000000-0008-0000-0F00-0000B1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82" name="Text Box 203">
          <a:extLst>
            <a:ext uri="{FF2B5EF4-FFF2-40B4-BE49-F238E27FC236}">
              <a16:creationId xmlns:a16="http://schemas.microsoft.com/office/drawing/2014/main" id="{00000000-0008-0000-0F00-0000B2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83" name="Text Box 204">
          <a:extLst>
            <a:ext uri="{FF2B5EF4-FFF2-40B4-BE49-F238E27FC236}">
              <a16:creationId xmlns:a16="http://schemas.microsoft.com/office/drawing/2014/main" id="{00000000-0008-0000-0F00-0000B3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14300" cy="945696"/>
    <xdr:sp macro="" textlink="">
      <xdr:nvSpPr>
        <xdr:cNvPr id="2484" name="Text Box 205">
          <a:extLst>
            <a:ext uri="{FF2B5EF4-FFF2-40B4-BE49-F238E27FC236}">
              <a16:creationId xmlns:a16="http://schemas.microsoft.com/office/drawing/2014/main" id="{00000000-0008-0000-0F00-0000B4090000}"/>
            </a:ext>
          </a:extLst>
        </xdr:cNvPr>
        <xdr:cNvSpPr txBox="1">
          <a:spLocks noChangeArrowheads="1"/>
        </xdr:cNvSpPr>
      </xdr:nvSpPr>
      <xdr:spPr bwMode="auto">
        <a:xfrm>
          <a:off x="6678083" y="7207250"/>
          <a:ext cx="114300" cy="945696"/>
        </a:xfrm>
        <a:prstGeom prst="rect">
          <a:avLst/>
        </a:prstGeom>
        <a:noFill/>
        <a:ln w="9525">
          <a:noFill/>
          <a:miter lim="800000"/>
          <a:headEnd/>
          <a:tailEnd/>
        </a:ln>
      </xdr:spPr>
    </xdr:sp>
    <xdr:clientData/>
  </xdr:oneCellAnchor>
  <xdr:oneCellAnchor>
    <xdr:from>
      <xdr:col>9</xdr:col>
      <xdr:colOff>0</xdr:colOff>
      <xdr:row>16</xdr:row>
      <xdr:rowOff>0</xdr:rowOff>
    </xdr:from>
    <xdr:ext cx="114300" cy="945696"/>
    <xdr:sp macro="" textlink="">
      <xdr:nvSpPr>
        <xdr:cNvPr id="2485" name="Text Box 206">
          <a:extLst>
            <a:ext uri="{FF2B5EF4-FFF2-40B4-BE49-F238E27FC236}">
              <a16:creationId xmlns:a16="http://schemas.microsoft.com/office/drawing/2014/main" id="{00000000-0008-0000-0F00-0000B5090000}"/>
            </a:ext>
          </a:extLst>
        </xdr:cNvPr>
        <xdr:cNvSpPr txBox="1">
          <a:spLocks noChangeArrowheads="1"/>
        </xdr:cNvSpPr>
      </xdr:nvSpPr>
      <xdr:spPr bwMode="auto">
        <a:xfrm>
          <a:off x="6678083" y="7207250"/>
          <a:ext cx="114300"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86" name="Text Box 207">
          <a:extLst>
            <a:ext uri="{FF2B5EF4-FFF2-40B4-BE49-F238E27FC236}">
              <a16:creationId xmlns:a16="http://schemas.microsoft.com/office/drawing/2014/main" id="{00000000-0008-0000-0F00-0000B6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87" name="Text Box 208">
          <a:extLst>
            <a:ext uri="{FF2B5EF4-FFF2-40B4-BE49-F238E27FC236}">
              <a16:creationId xmlns:a16="http://schemas.microsoft.com/office/drawing/2014/main" id="{00000000-0008-0000-0F00-0000B7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88" name="Text Box 209">
          <a:extLst>
            <a:ext uri="{FF2B5EF4-FFF2-40B4-BE49-F238E27FC236}">
              <a16:creationId xmlns:a16="http://schemas.microsoft.com/office/drawing/2014/main" id="{00000000-0008-0000-0F00-0000B8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945696"/>
    <xdr:sp macro="" textlink="">
      <xdr:nvSpPr>
        <xdr:cNvPr id="2489" name="Text Box 210">
          <a:extLst>
            <a:ext uri="{FF2B5EF4-FFF2-40B4-BE49-F238E27FC236}">
              <a16:creationId xmlns:a16="http://schemas.microsoft.com/office/drawing/2014/main" id="{00000000-0008-0000-0F00-0000B9090000}"/>
            </a:ext>
          </a:extLst>
        </xdr:cNvPr>
        <xdr:cNvSpPr txBox="1">
          <a:spLocks noChangeArrowheads="1"/>
        </xdr:cNvSpPr>
      </xdr:nvSpPr>
      <xdr:spPr bwMode="auto">
        <a:xfrm>
          <a:off x="6678083" y="7207250"/>
          <a:ext cx="123825" cy="9456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90" name="Text Box 211">
          <a:extLst>
            <a:ext uri="{FF2B5EF4-FFF2-40B4-BE49-F238E27FC236}">
              <a16:creationId xmlns:a16="http://schemas.microsoft.com/office/drawing/2014/main" id="{00000000-0008-0000-0F00-0000BA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91" name="Text Box 212">
          <a:extLst>
            <a:ext uri="{FF2B5EF4-FFF2-40B4-BE49-F238E27FC236}">
              <a16:creationId xmlns:a16="http://schemas.microsoft.com/office/drawing/2014/main" id="{00000000-0008-0000-0F00-0000BB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92" name="Text Box 213">
          <a:extLst>
            <a:ext uri="{FF2B5EF4-FFF2-40B4-BE49-F238E27FC236}">
              <a16:creationId xmlns:a16="http://schemas.microsoft.com/office/drawing/2014/main" id="{00000000-0008-0000-0F00-0000BC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16</xdr:row>
      <xdr:rowOff>0</xdr:rowOff>
    </xdr:from>
    <xdr:ext cx="123825" cy="831396"/>
    <xdr:sp macro="" textlink="">
      <xdr:nvSpPr>
        <xdr:cNvPr id="2493" name="Text Box 214">
          <a:extLst>
            <a:ext uri="{FF2B5EF4-FFF2-40B4-BE49-F238E27FC236}">
              <a16:creationId xmlns:a16="http://schemas.microsoft.com/office/drawing/2014/main" id="{00000000-0008-0000-0F00-0000BD090000}"/>
            </a:ext>
          </a:extLst>
        </xdr:cNvPr>
        <xdr:cNvSpPr txBox="1">
          <a:spLocks noChangeArrowheads="1"/>
        </xdr:cNvSpPr>
      </xdr:nvSpPr>
      <xdr:spPr bwMode="auto">
        <a:xfrm>
          <a:off x="6678083" y="7207250"/>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494" name="Text Box 197">
          <a:extLst>
            <a:ext uri="{FF2B5EF4-FFF2-40B4-BE49-F238E27FC236}">
              <a16:creationId xmlns:a16="http://schemas.microsoft.com/office/drawing/2014/main" id="{00000000-0008-0000-0F00-0000BE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495" name="Text Box 198">
          <a:extLst>
            <a:ext uri="{FF2B5EF4-FFF2-40B4-BE49-F238E27FC236}">
              <a16:creationId xmlns:a16="http://schemas.microsoft.com/office/drawing/2014/main" id="{00000000-0008-0000-0F00-0000BF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496" name="Text Box 199">
          <a:extLst>
            <a:ext uri="{FF2B5EF4-FFF2-40B4-BE49-F238E27FC236}">
              <a16:creationId xmlns:a16="http://schemas.microsoft.com/office/drawing/2014/main" id="{00000000-0008-0000-0F00-0000C0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497" name="Text Box 200">
          <a:extLst>
            <a:ext uri="{FF2B5EF4-FFF2-40B4-BE49-F238E27FC236}">
              <a16:creationId xmlns:a16="http://schemas.microsoft.com/office/drawing/2014/main" id="{00000000-0008-0000-0F00-0000C1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498" name="Text Box 201">
          <a:extLst>
            <a:ext uri="{FF2B5EF4-FFF2-40B4-BE49-F238E27FC236}">
              <a16:creationId xmlns:a16="http://schemas.microsoft.com/office/drawing/2014/main" id="{00000000-0008-0000-0F00-0000C2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499" name="Text Box 202">
          <a:extLst>
            <a:ext uri="{FF2B5EF4-FFF2-40B4-BE49-F238E27FC236}">
              <a16:creationId xmlns:a16="http://schemas.microsoft.com/office/drawing/2014/main" id="{00000000-0008-0000-0F00-0000C3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00" name="Text Box 203">
          <a:extLst>
            <a:ext uri="{FF2B5EF4-FFF2-40B4-BE49-F238E27FC236}">
              <a16:creationId xmlns:a16="http://schemas.microsoft.com/office/drawing/2014/main" id="{00000000-0008-0000-0F00-0000C4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01" name="Text Box 204">
          <a:extLst>
            <a:ext uri="{FF2B5EF4-FFF2-40B4-BE49-F238E27FC236}">
              <a16:creationId xmlns:a16="http://schemas.microsoft.com/office/drawing/2014/main" id="{00000000-0008-0000-0F00-0000C5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14300" cy="945696"/>
    <xdr:sp macro="" textlink="">
      <xdr:nvSpPr>
        <xdr:cNvPr id="2502" name="Text Box 205">
          <a:extLst>
            <a:ext uri="{FF2B5EF4-FFF2-40B4-BE49-F238E27FC236}">
              <a16:creationId xmlns:a16="http://schemas.microsoft.com/office/drawing/2014/main" id="{00000000-0008-0000-0F00-0000C6090000}"/>
            </a:ext>
          </a:extLst>
        </xdr:cNvPr>
        <xdr:cNvSpPr txBox="1">
          <a:spLocks noChangeArrowheads="1"/>
        </xdr:cNvSpPr>
      </xdr:nvSpPr>
      <xdr:spPr bwMode="auto">
        <a:xfrm>
          <a:off x="6678083" y="7884583"/>
          <a:ext cx="114300" cy="945696"/>
        </a:xfrm>
        <a:prstGeom prst="rect">
          <a:avLst/>
        </a:prstGeom>
        <a:noFill/>
        <a:ln w="9525">
          <a:noFill/>
          <a:miter lim="800000"/>
          <a:headEnd/>
          <a:tailEnd/>
        </a:ln>
      </xdr:spPr>
    </xdr:sp>
    <xdr:clientData/>
  </xdr:oneCellAnchor>
  <xdr:oneCellAnchor>
    <xdr:from>
      <xdr:col>9</xdr:col>
      <xdr:colOff>0</xdr:colOff>
      <xdr:row>17</xdr:row>
      <xdr:rowOff>0</xdr:rowOff>
    </xdr:from>
    <xdr:ext cx="114300" cy="945696"/>
    <xdr:sp macro="" textlink="">
      <xdr:nvSpPr>
        <xdr:cNvPr id="2503" name="Text Box 206">
          <a:extLst>
            <a:ext uri="{FF2B5EF4-FFF2-40B4-BE49-F238E27FC236}">
              <a16:creationId xmlns:a16="http://schemas.microsoft.com/office/drawing/2014/main" id="{00000000-0008-0000-0F00-0000C7090000}"/>
            </a:ext>
          </a:extLst>
        </xdr:cNvPr>
        <xdr:cNvSpPr txBox="1">
          <a:spLocks noChangeArrowheads="1"/>
        </xdr:cNvSpPr>
      </xdr:nvSpPr>
      <xdr:spPr bwMode="auto">
        <a:xfrm>
          <a:off x="6678083" y="7884583"/>
          <a:ext cx="114300" cy="945696"/>
        </a:xfrm>
        <a:prstGeom prst="rect">
          <a:avLst/>
        </a:prstGeom>
        <a:noFill/>
        <a:ln w="9525">
          <a:noFill/>
          <a:miter lim="800000"/>
          <a:headEnd/>
          <a:tailEnd/>
        </a:ln>
      </xdr:spPr>
    </xdr:sp>
    <xdr:clientData/>
  </xdr:oneCellAnchor>
  <xdr:oneCellAnchor>
    <xdr:from>
      <xdr:col>9</xdr:col>
      <xdr:colOff>0</xdr:colOff>
      <xdr:row>17</xdr:row>
      <xdr:rowOff>0</xdr:rowOff>
    </xdr:from>
    <xdr:ext cx="123825" cy="945696"/>
    <xdr:sp macro="" textlink="">
      <xdr:nvSpPr>
        <xdr:cNvPr id="2504" name="Text Box 207">
          <a:extLst>
            <a:ext uri="{FF2B5EF4-FFF2-40B4-BE49-F238E27FC236}">
              <a16:creationId xmlns:a16="http://schemas.microsoft.com/office/drawing/2014/main" id="{00000000-0008-0000-0F00-0000C8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17</xdr:row>
      <xdr:rowOff>0</xdr:rowOff>
    </xdr:from>
    <xdr:ext cx="123825" cy="945696"/>
    <xdr:sp macro="" textlink="">
      <xdr:nvSpPr>
        <xdr:cNvPr id="2505" name="Text Box 208">
          <a:extLst>
            <a:ext uri="{FF2B5EF4-FFF2-40B4-BE49-F238E27FC236}">
              <a16:creationId xmlns:a16="http://schemas.microsoft.com/office/drawing/2014/main" id="{00000000-0008-0000-0F00-0000C9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17</xdr:row>
      <xdr:rowOff>0</xdr:rowOff>
    </xdr:from>
    <xdr:ext cx="123825" cy="945696"/>
    <xdr:sp macro="" textlink="">
      <xdr:nvSpPr>
        <xdr:cNvPr id="2506" name="Text Box 209">
          <a:extLst>
            <a:ext uri="{FF2B5EF4-FFF2-40B4-BE49-F238E27FC236}">
              <a16:creationId xmlns:a16="http://schemas.microsoft.com/office/drawing/2014/main" id="{00000000-0008-0000-0F00-0000CA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17</xdr:row>
      <xdr:rowOff>0</xdr:rowOff>
    </xdr:from>
    <xdr:ext cx="123825" cy="945696"/>
    <xdr:sp macro="" textlink="">
      <xdr:nvSpPr>
        <xdr:cNvPr id="2507" name="Text Box 210">
          <a:extLst>
            <a:ext uri="{FF2B5EF4-FFF2-40B4-BE49-F238E27FC236}">
              <a16:creationId xmlns:a16="http://schemas.microsoft.com/office/drawing/2014/main" id="{00000000-0008-0000-0F00-0000CB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08" name="Text Box 211">
          <a:extLst>
            <a:ext uri="{FF2B5EF4-FFF2-40B4-BE49-F238E27FC236}">
              <a16:creationId xmlns:a16="http://schemas.microsoft.com/office/drawing/2014/main" id="{00000000-0008-0000-0F00-0000CC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09" name="Text Box 212">
          <a:extLst>
            <a:ext uri="{FF2B5EF4-FFF2-40B4-BE49-F238E27FC236}">
              <a16:creationId xmlns:a16="http://schemas.microsoft.com/office/drawing/2014/main" id="{00000000-0008-0000-0F00-0000CD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10" name="Text Box 213">
          <a:extLst>
            <a:ext uri="{FF2B5EF4-FFF2-40B4-BE49-F238E27FC236}">
              <a16:creationId xmlns:a16="http://schemas.microsoft.com/office/drawing/2014/main" id="{00000000-0008-0000-0F00-0000CE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11" name="Text Box 214">
          <a:extLst>
            <a:ext uri="{FF2B5EF4-FFF2-40B4-BE49-F238E27FC236}">
              <a16:creationId xmlns:a16="http://schemas.microsoft.com/office/drawing/2014/main" id="{00000000-0008-0000-0F00-0000CF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12" name="Text Box 197">
          <a:extLst>
            <a:ext uri="{FF2B5EF4-FFF2-40B4-BE49-F238E27FC236}">
              <a16:creationId xmlns:a16="http://schemas.microsoft.com/office/drawing/2014/main" id="{00000000-0008-0000-0F00-0000D0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13" name="Text Box 198">
          <a:extLst>
            <a:ext uri="{FF2B5EF4-FFF2-40B4-BE49-F238E27FC236}">
              <a16:creationId xmlns:a16="http://schemas.microsoft.com/office/drawing/2014/main" id="{00000000-0008-0000-0F00-0000D1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14" name="Text Box 199">
          <a:extLst>
            <a:ext uri="{FF2B5EF4-FFF2-40B4-BE49-F238E27FC236}">
              <a16:creationId xmlns:a16="http://schemas.microsoft.com/office/drawing/2014/main" id="{00000000-0008-0000-0F00-0000D2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15" name="Text Box 200">
          <a:extLst>
            <a:ext uri="{FF2B5EF4-FFF2-40B4-BE49-F238E27FC236}">
              <a16:creationId xmlns:a16="http://schemas.microsoft.com/office/drawing/2014/main" id="{00000000-0008-0000-0F00-0000D3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16" name="Text Box 201">
          <a:extLst>
            <a:ext uri="{FF2B5EF4-FFF2-40B4-BE49-F238E27FC236}">
              <a16:creationId xmlns:a16="http://schemas.microsoft.com/office/drawing/2014/main" id="{00000000-0008-0000-0F00-0000D4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17" name="Text Box 202">
          <a:extLst>
            <a:ext uri="{FF2B5EF4-FFF2-40B4-BE49-F238E27FC236}">
              <a16:creationId xmlns:a16="http://schemas.microsoft.com/office/drawing/2014/main" id="{00000000-0008-0000-0F00-0000D5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18" name="Text Box 203">
          <a:extLst>
            <a:ext uri="{FF2B5EF4-FFF2-40B4-BE49-F238E27FC236}">
              <a16:creationId xmlns:a16="http://schemas.microsoft.com/office/drawing/2014/main" id="{00000000-0008-0000-0F00-0000D6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19" name="Text Box 204">
          <a:extLst>
            <a:ext uri="{FF2B5EF4-FFF2-40B4-BE49-F238E27FC236}">
              <a16:creationId xmlns:a16="http://schemas.microsoft.com/office/drawing/2014/main" id="{00000000-0008-0000-0F00-0000D7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14300" cy="945696"/>
    <xdr:sp macro="" textlink="">
      <xdr:nvSpPr>
        <xdr:cNvPr id="2520" name="Text Box 205">
          <a:extLst>
            <a:ext uri="{FF2B5EF4-FFF2-40B4-BE49-F238E27FC236}">
              <a16:creationId xmlns:a16="http://schemas.microsoft.com/office/drawing/2014/main" id="{00000000-0008-0000-0F00-0000D8090000}"/>
            </a:ext>
          </a:extLst>
        </xdr:cNvPr>
        <xdr:cNvSpPr txBox="1">
          <a:spLocks noChangeArrowheads="1"/>
        </xdr:cNvSpPr>
      </xdr:nvSpPr>
      <xdr:spPr bwMode="auto">
        <a:xfrm>
          <a:off x="6678083" y="7884583"/>
          <a:ext cx="114300" cy="945696"/>
        </a:xfrm>
        <a:prstGeom prst="rect">
          <a:avLst/>
        </a:prstGeom>
        <a:noFill/>
        <a:ln w="9525">
          <a:noFill/>
          <a:miter lim="800000"/>
          <a:headEnd/>
          <a:tailEnd/>
        </a:ln>
      </xdr:spPr>
    </xdr:sp>
    <xdr:clientData/>
  </xdr:oneCellAnchor>
  <xdr:oneCellAnchor>
    <xdr:from>
      <xdr:col>9</xdr:col>
      <xdr:colOff>0</xdr:colOff>
      <xdr:row>17</xdr:row>
      <xdr:rowOff>0</xdr:rowOff>
    </xdr:from>
    <xdr:ext cx="114300" cy="945696"/>
    <xdr:sp macro="" textlink="">
      <xdr:nvSpPr>
        <xdr:cNvPr id="2521" name="Text Box 206">
          <a:extLst>
            <a:ext uri="{FF2B5EF4-FFF2-40B4-BE49-F238E27FC236}">
              <a16:creationId xmlns:a16="http://schemas.microsoft.com/office/drawing/2014/main" id="{00000000-0008-0000-0F00-0000D9090000}"/>
            </a:ext>
          </a:extLst>
        </xdr:cNvPr>
        <xdr:cNvSpPr txBox="1">
          <a:spLocks noChangeArrowheads="1"/>
        </xdr:cNvSpPr>
      </xdr:nvSpPr>
      <xdr:spPr bwMode="auto">
        <a:xfrm>
          <a:off x="6678083" y="7884583"/>
          <a:ext cx="114300" cy="945696"/>
        </a:xfrm>
        <a:prstGeom prst="rect">
          <a:avLst/>
        </a:prstGeom>
        <a:noFill/>
        <a:ln w="9525">
          <a:noFill/>
          <a:miter lim="800000"/>
          <a:headEnd/>
          <a:tailEnd/>
        </a:ln>
      </xdr:spPr>
    </xdr:sp>
    <xdr:clientData/>
  </xdr:oneCellAnchor>
  <xdr:oneCellAnchor>
    <xdr:from>
      <xdr:col>9</xdr:col>
      <xdr:colOff>0</xdr:colOff>
      <xdr:row>17</xdr:row>
      <xdr:rowOff>0</xdr:rowOff>
    </xdr:from>
    <xdr:ext cx="123825" cy="945696"/>
    <xdr:sp macro="" textlink="">
      <xdr:nvSpPr>
        <xdr:cNvPr id="2522" name="Text Box 207">
          <a:extLst>
            <a:ext uri="{FF2B5EF4-FFF2-40B4-BE49-F238E27FC236}">
              <a16:creationId xmlns:a16="http://schemas.microsoft.com/office/drawing/2014/main" id="{00000000-0008-0000-0F00-0000DA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17</xdr:row>
      <xdr:rowOff>0</xdr:rowOff>
    </xdr:from>
    <xdr:ext cx="123825" cy="945696"/>
    <xdr:sp macro="" textlink="">
      <xdr:nvSpPr>
        <xdr:cNvPr id="2523" name="Text Box 208">
          <a:extLst>
            <a:ext uri="{FF2B5EF4-FFF2-40B4-BE49-F238E27FC236}">
              <a16:creationId xmlns:a16="http://schemas.microsoft.com/office/drawing/2014/main" id="{00000000-0008-0000-0F00-0000DB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17</xdr:row>
      <xdr:rowOff>0</xdr:rowOff>
    </xdr:from>
    <xdr:ext cx="123825" cy="945696"/>
    <xdr:sp macro="" textlink="">
      <xdr:nvSpPr>
        <xdr:cNvPr id="2524" name="Text Box 209">
          <a:extLst>
            <a:ext uri="{FF2B5EF4-FFF2-40B4-BE49-F238E27FC236}">
              <a16:creationId xmlns:a16="http://schemas.microsoft.com/office/drawing/2014/main" id="{00000000-0008-0000-0F00-0000DC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17</xdr:row>
      <xdr:rowOff>0</xdr:rowOff>
    </xdr:from>
    <xdr:ext cx="123825" cy="945696"/>
    <xdr:sp macro="" textlink="">
      <xdr:nvSpPr>
        <xdr:cNvPr id="2525" name="Text Box 210">
          <a:extLst>
            <a:ext uri="{FF2B5EF4-FFF2-40B4-BE49-F238E27FC236}">
              <a16:creationId xmlns:a16="http://schemas.microsoft.com/office/drawing/2014/main" id="{00000000-0008-0000-0F00-0000DD090000}"/>
            </a:ext>
          </a:extLst>
        </xdr:cNvPr>
        <xdr:cNvSpPr txBox="1">
          <a:spLocks noChangeArrowheads="1"/>
        </xdr:cNvSpPr>
      </xdr:nvSpPr>
      <xdr:spPr bwMode="auto">
        <a:xfrm>
          <a:off x="6678083" y="7884583"/>
          <a:ext cx="123825" cy="9456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26" name="Text Box 211">
          <a:extLst>
            <a:ext uri="{FF2B5EF4-FFF2-40B4-BE49-F238E27FC236}">
              <a16:creationId xmlns:a16="http://schemas.microsoft.com/office/drawing/2014/main" id="{00000000-0008-0000-0F00-0000DE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27" name="Text Box 212">
          <a:extLst>
            <a:ext uri="{FF2B5EF4-FFF2-40B4-BE49-F238E27FC236}">
              <a16:creationId xmlns:a16="http://schemas.microsoft.com/office/drawing/2014/main" id="{00000000-0008-0000-0F00-0000DF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28" name="Text Box 213">
          <a:extLst>
            <a:ext uri="{FF2B5EF4-FFF2-40B4-BE49-F238E27FC236}">
              <a16:creationId xmlns:a16="http://schemas.microsoft.com/office/drawing/2014/main" id="{00000000-0008-0000-0F00-0000E0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oneCellAnchor>
    <xdr:from>
      <xdr:col>9</xdr:col>
      <xdr:colOff>0</xdr:colOff>
      <xdr:row>17</xdr:row>
      <xdr:rowOff>0</xdr:rowOff>
    </xdr:from>
    <xdr:ext cx="123825" cy="831396"/>
    <xdr:sp macro="" textlink="">
      <xdr:nvSpPr>
        <xdr:cNvPr id="2529" name="Text Box 214">
          <a:extLst>
            <a:ext uri="{FF2B5EF4-FFF2-40B4-BE49-F238E27FC236}">
              <a16:creationId xmlns:a16="http://schemas.microsoft.com/office/drawing/2014/main" id="{00000000-0008-0000-0F00-0000E1090000}"/>
            </a:ext>
          </a:extLst>
        </xdr:cNvPr>
        <xdr:cNvSpPr txBox="1">
          <a:spLocks noChangeArrowheads="1"/>
        </xdr:cNvSpPr>
      </xdr:nvSpPr>
      <xdr:spPr bwMode="auto">
        <a:xfrm>
          <a:off x="6678083" y="7884583"/>
          <a:ext cx="123825" cy="831396"/>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unilibrepereira.edu.co/Revisi&#243;n%20Gerencial%20Nacional/Backup/Escritorio/COMPARTIDA/DOCUMENTOS%20PENDIENTES%2015-11-06/Varios%201/Herramientas%20y%20graficas/INDICADORES%20FINANCIERA%20Y%20REGISTRO/calculo%20ficha%20atenci&#243;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visi&#243;n%20Gerencial%20Nacional\Backup\Escritorio\COMPARTIDA\DOCUMENTOS%20PENDIENTES%2015-11-06\Varios%201\Herramientas%20y%20graficas\INDICADORES%20FINANCIERA%20Y%20REGISTRO\calculo%20ficha%20atenci&#243;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ackup%20preventivo%20Ing%20Gloria\Google%20Drive\SGC\INFOR_ADICIONAL\REVISION_GERENCIAL\2018\ANEXO.%20Inf.%20entrada%20%20RG%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UNTO%20CONSULTA%20SECCIONAL/INFOR_ADICIONAL/AUDITORIAS/2022/Consolidado%20NC%20y%20OBS%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ACTORES/FACTOR%20%2011%20PLANTA%20FISICA/Nueva%20carpeta/Sistemas/Indicadores/Indicadores%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datos"/>
      <sheetName val="calificación"/>
      <sheetName val="tabulación calificación"/>
      <sheetName val="Ana. Pareto"/>
    </sheetNames>
    <sheetDataSet>
      <sheetData sheetId="0">
        <row r="6">
          <cell r="CY6" t="str">
            <v>Excelente</v>
          </cell>
        </row>
        <row r="7">
          <cell r="CY7" t="str">
            <v>Bueno</v>
          </cell>
        </row>
        <row r="8">
          <cell r="CY8" t="str">
            <v>Aceptable</v>
          </cell>
        </row>
        <row r="9">
          <cell r="CY9" t="str">
            <v>Deficiente</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datos"/>
      <sheetName val="calificación"/>
      <sheetName val="tabulación calificación"/>
      <sheetName val="Ana. Pareto"/>
    </sheetNames>
    <sheetDataSet>
      <sheetData sheetId="0">
        <row r="6">
          <cell r="CY6" t="str">
            <v>Excelente</v>
          </cell>
        </row>
        <row r="7">
          <cell r="CY7" t="str">
            <v>Bueno</v>
          </cell>
        </row>
        <row r="8">
          <cell r="CY8" t="str">
            <v>Aceptable</v>
          </cell>
        </row>
        <row r="9">
          <cell r="CY9" t="str">
            <v>Deficiente</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2018"/>
      <sheetName val="Objetivo 1(Encuestas)"/>
      <sheetName val="Objetivo 1(Calif. ss)"/>
      <sheetName val="Objetivo 1(Quejas)"/>
      <sheetName val="Objetivo 2"/>
      <sheetName val="Objetivo 3"/>
      <sheetName val="Cumplimiento Objetivos "/>
      <sheetName val="Eficacia del SGC (ajustado)"/>
      <sheetName val="Comparativ.Resultados aud.Inter"/>
      <sheetName val="NC 2018"/>
      <sheetName val="AUDITORES"/>
      <sheetName val="NC Externa"/>
      <sheetName val="EVALUACIÓN A PROVEEDORES "/>
      <sheetName val="% Tareas_Rev.Gcial"/>
      <sheetName val="Eficacia Oport. mejor (riesgos)"/>
      <sheetName val="Gestion del Cambio"/>
      <sheetName val="Servicios No conformes"/>
    </sheetNames>
    <sheetDataSet>
      <sheetData sheetId="0"/>
      <sheetData sheetId="1"/>
      <sheetData sheetId="2"/>
      <sheetData sheetId="3"/>
      <sheetData sheetId="4"/>
      <sheetData sheetId="5"/>
      <sheetData sheetId="6">
        <row r="3">
          <cell r="E3">
            <v>0.90410000000000001</v>
          </cell>
          <cell r="F3">
            <v>0.9074333333333332</v>
          </cell>
        </row>
        <row r="4">
          <cell r="E4">
            <v>0.94986666666666675</v>
          </cell>
          <cell r="F4">
            <v>0.97</v>
          </cell>
        </row>
        <row r="5">
          <cell r="E5">
            <v>0.79200000000000004</v>
          </cell>
          <cell r="F5">
            <v>0.874</v>
          </cell>
        </row>
        <row r="6">
          <cell r="E6">
            <v>0.87432222222222222</v>
          </cell>
          <cell r="F6">
            <v>0.91714444444444443</v>
          </cell>
        </row>
      </sheetData>
      <sheetData sheetId="7"/>
      <sheetData sheetId="8"/>
      <sheetData sheetId="9"/>
      <sheetData sheetId="10"/>
      <sheetData sheetId="11"/>
      <sheetData sheetId="12">
        <row r="4">
          <cell r="P4" t="str">
            <v>2017 - I</v>
          </cell>
          <cell r="Q4" t="str">
            <v>2017 - II</v>
          </cell>
        </row>
        <row r="5">
          <cell r="A5" t="str">
            <v>Proveedores Evaluados Satisfactoriamente                                                              (calificados con puntaje mayor o igual a 3.5)</v>
          </cell>
          <cell r="P5">
            <v>194</v>
          </cell>
          <cell r="Q5">
            <v>178</v>
          </cell>
        </row>
        <row r="6">
          <cell r="A6" t="str">
            <v>Proveedores evaluados insatisfactoriamente                                                                       (calificados con puntaje inferior a 3.5 y mayor o igual a 3.0 )</v>
          </cell>
          <cell r="P6">
            <v>1</v>
          </cell>
          <cell r="Q6">
            <v>0</v>
          </cell>
        </row>
        <row r="7">
          <cell r="A7" t="str">
            <v>Proveedores deshabilitados del Registro                                           (Evaluados por debajo de  3.0)</v>
          </cell>
          <cell r="P7">
            <v>0</v>
          </cell>
          <cell r="Q7">
            <v>1</v>
          </cell>
        </row>
      </sheetData>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 2021-2022"/>
      <sheetName val="Resultados aud.Inter"/>
    </sheetNames>
    <sheetDataSet>
      <sheetData sheetId="0"/>
      <sheetData sheetId="1">
        <row r="23">
          <cell r="C23" t="str">
            <v>2006-II</v>
          </cell>
          <cell r="D23">
            <v>2007</v>
          </cell>
          <cell r="E23">
            <v>0</v>
          </cell>
          <cell r="F23">
            <v>2008</v>
          </cell>
          <cell r="G23">
            <v>0</v>
          </cell>
          <cell r="H23">
            <v>2009</v>
          </cell>
          <cell r="I23">
            <v>0</v>
          </cell>
          <cell r="J23">
            <v>2010</v>
          </cell>
          <cell r="K23">
            <v>0</v>
          </cell>
          <cell r="L23">
            <v>2011</v>
          </cell>
          <cell r="M23">
            <v>0</v>
          </cell>
          <cell r="N23">
            <v>2012</v>
          </cell>
          <cell r="O23">
            <v>0</v>
          </cell>
          <cell r="P23">
            <v>2013</v>
          </cell>
          <cell r="Q23">
            <v>0</v>
          </cell>
          <cell r="R23">
            <v>2014</v>
          </cell>
          <cell r="S23">
            <v>0</v>
          </cell>
          <cell r="T23">
            <v>2015</v>
          </cell>
          <cell r="U23">
            <v>0</v>
          </cell>
          <cell r="V23">
            <v>2016</v>
          </cell>
          <cell r="W23">
            <v>0</v>
          </cell>
          <cell r="X23">
            <v>2017</v>
          </cell>
          <cell r="Y23">
            <v>0</v>
          </cell>
        </row>
        <row r="24">
          <cell r="C24">
            <v>49</v>
          </cell>
          <cell r="D24">
            <v>58</v>
          </cell>
          <cell r="E24">
            <v>0</v>
          </cell>
          <cell r="F24">
            <v>46</v>
          </cell>
          <cell r="G24">
            <v>0</v>
          </cell>
          <cell r="H24">
            <v>30</v>
          </cell>
          <cell r="I24">
            <v>0</v>
          </cell>
          <cell r="J24">
            <v>9</v>
          </cell>
          <cell r="K24">
            <v>0</v>
          </cell>
          <cell r="L24">
            <v>5</v>
          </cell>
          <cell r="M24">
            <v>0</v>
          </cell>
          <cell r="N24">
            <v>7</v>
          </cell>
          <cell r="O24">
            <v>0</v>
          </cell>
          <cell r="P24">
            <v>8</v>
          </cell>
          <cell r="Q24">
            <v>0</v>
          </cell>
          <cell r="R24">
            <v>0</v>
          </cell>
          <cell r="S24">
            <v>0</v>
          </cell>
          <cell r="T24">
            <v>5</v>
          </cell>
          <cell r="U24">
            <v>0</v>
          </cell>
          <cell r="V24">
            <v>8</v>
          </cell>
          <cell r="W24">
            <v>0</v>
          </cell>
          <cell r="X24">
            <v>8</v>
          </cell>
          <cell r="Y24">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2021"/>
      <sheetName val="Objetivo 1(Encuestas)"/>
      <sheetName val="Objetivo 1(Calif. ss)"/>
      <sheetName val="Objetivo 1(Quejas)"/>
      <sheetName val="Objetivo 2"/>
      <sheetName val="Objetivo 3"/>
      <sheetName val="Cumplimiento Objetivos "/>
      <sheetName val="Eficacia del SGC (ajustado)"/>
      <sheetName val="NC 2020-2021"/>
      <sheetName val="ANEXO 2.Resultados aud.Inter"/>
      <sheetName val="NC Externa"/>
      <sheetName val="EVALUACIÓN A PROVEEDORES "/>
      <sheetName val="% Tareas_Rev.Gcial"/>
      <sheetName val="Gestion del Riesgo (2021)"/>
      <sheetName val="Gestión del Cambio (2021)"/>
      <sheetName val="Servicios No conformes"/>
    </sheetNames>
    <sheetDataSet>
      <sheetData sheetId="0"/>
      <sheetData sheetId="1"/>
      <sheetData sheetId="2"/>
      <sheetData sheetId="3"/>
      <sheetData sheetId="4"/>
      <sheetData sheetId="5"/>
      <sheetData sheetId="6"/>
      <sheetData sheetId="7"/>
      <sheetData sheetId="8"/>
      <sheetData sheetId="9">
        <row r="23">
          <cell r="C23" t="str">
            <v>2006-II</v>
          </cell>
          <cell r="D23">
            <v>2007</v>
          </cell>
          <cell r="E23">
            <v>0</v>
          </cell>
          <cell r="F23">
            <v>2008</v>
          </cell>
          <cell r="G23">
            <v>0</v>
          </cell>
          <cell r="H23">
            <v>2009</v>
          </cell>
          <cell r="I23">
            <v>0</v>
          </cell>
          <cell r="J23">
            <v>2010</v>
          </cell>
          <cell r="K23">
            <v>0</v>
          </cell>
          <cell r="L23">
            <v>2011</v>
          </cell>
          <cell r="M23">
            <v>0</v>
          </cell>
          <cell r="N23">
            <v>2012</v>
          </cell>
          <cell r="O23">
            <v>0</v>
          </cell>
          <cell r="P23">
            <v>2013</v>
          </cell>
          <cell r="Q23">
            <v>0</v>
          </cell>
          <cell r="R23">
            <v>2014</v>
          </cell>
          <cell r="S23">
            <v>0</v>
          </cell>
          <cell r="T23">
            <v>2015</v>
          </cell>
          <cell r="U23">
            <v>0</v>
          </cell>
          <cell r="V23">
            <v>2016</v>
          </cell>
          <cell r="W23">
            <v>0</v>
          </cell>
          <cell r="X23">
            <v>2017</v>
          </cell>
          <cell r="Y23">
            <v>0</v>
          </cell>
        </row>
        <row r="24">
          <cell r="C24">
            <v>49</v>
          </cell>
          <cell r="D24">
            <v>58</v>
          </cell>
          <cell r="E24">
            <v>0</v>
          </cell>
          <cell r="F24">
            <v>46</v>
          </cell>
          <cell r="G24">
            <v>0</v>
          </cell>
          <cell r="H24">
            <v>30</v>
          </cell>
          <cell r="I24">
            <v>0</v>
          </cell>
          <cell r="J24">
            <v>9</v>
          </cell>
          <cell r="K24">
            <v>0</v>
          </cell>
          <cell r="L24">
            <v>5</v>
          </cell>
          <cell r="M24">
            <v>0</v>
          </cell>
          <cell r="N24">
            <v>7</v>
          </cell>
          <cell r="O24">
            <v>0</v>
          </cell>
          <cell r="P24">
            <v>8</v>
          </cell>
          <cell r="Q24">
            <v>0</v>
          </cell>
          <cell r="R24">
            <v>0</v>
          </cell>
          <cell r="S24">
            <v>0</v>
          </cell>
          <cell r="T24">
            <v>5</v>
          </cell>
          <cell r="U24">
            <v>0</v>
          </cell>
          <cell r="V24">
            <v>8</v>
          </cell>
          <cell r="W24">
            <v>0</v>
          </cell>
          <cell r="X24">
            <v>8</v>
          </cell>
          <cell r="Y24">
            <v>0</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00FF"/>
  </sheetPr>
  <dimension ref="A2:IW524"/>
  <sheetViews>
    <sheetView zoomScale="70" zoomScaleNormal="70" zoomScaleSheetLayoutView="70" workbookViewId="0">
      <pane xSplit="2" ySplit="6" topLeftCell="C51" activePane="bottomRight" state="frozen"/>
      <selection pane="topRight" activeCell="C1" sqref="C1"/>
      <selection pane="bottomLeft" activeCell="A7" sqref="A7"/>
      <selection pane="bottomRight" activeCell="B51" sqref="B51:B53"/>
    </sheetView>
  </sheetViews>
  <sheetFormatPr baseColWidth="10" defaultRowHeight="12.75" x14ac:dyDescent="0.2"/>
  <cols>
    <col min="1" max="1" width="25.28515625" style="31" customWidth="1"/>
    <col min="2" max="2" width="36.85546875" style="143" customWidth="1"/>
    <col min="3" max="3" width="45.42578125" style="275" customWidth="1"/>
    <col min="4" max="4" width="22.7109375" style="2" customWidth="1"/>
    <col min="5" max="12" width="10.42578125" style="423" customWidth="1"/>
    <col min="13" max="13" width="12" style="423" customWidth="1"/>
    <col min="14" max="16" width="10.42578125" style="423" customWidth="1"/>
    <col min="17" max="17" width="14.5703125" style="30" customWidth="1"/>
    <col min="18" max="20" width="11.42578125" style="2" hidden="1" customWidth="1"/>
    <col min="21" max="21" width="12.7109375" style="30" hidden="1" customWidth="1"/>
    <col min="22" max="22" width="7.42578125" style="30" customWidth="1"/>
    <col min="23" max="23" width="11.42578125" style="781"/>
    <col min="24" max="24" width="25.140625" style="2" customWidth="1"/>
    <col min="25" max="257" width="11.42578125" style="2"/>
    <col min="258" max="258" width="22.42578125" style="2" customWidth="1"/>
    <col min="259" max="259" width="39.42578125" style="2" customWidth="1"/>
    <col min="260" max="260" width="20.28515625" style="2" customWidth="1"/>
    <col min="261" max="261" width="11.7109375" style="2" customWidth="1"/>
    <col min="262" max="262" width="11.5703125" style="2" customWidth="1"/>
    <col min="263" max="263" width="10.7109375" style="2" bestFit="1" customWidth="1"/>
    <col min="264" max="264" width="10" style="2" customWidth="1"/>
    <col min="265" max="265" width="10.5703125" style="2" customWidth="1"/>
    <col min="266" max="267" width="7.7109375" style="2" customWidth="1"/>
    <col min="268" max="268" width="8.7109375" style="2" customWidth="1"/>
    <col min="269" max="270" width="7.7109375" style="2" customWidth="1"/>
    <col min="271" max="271" width="9.28515625" style="2" customWidth="1"/>
    <col min="272" max="272" width="13.5703125" style="2" customWidth="1"/>
    <col min="273" max="273" width="12.7109375" style="2" customWidth="1"/>
    <col min="274" max="278" width="0" style="2" hidden="1" customWidth="1"/>
    <col min="279" max="513" width="11.42578125" style="2"/>
    <col min="514" max="514" width="22.42578125" style="2" customWidth="1"/>
    <col min="515" max="515" width="39.42578125" style="2" customWidth="1"/>
    <col min="516" max="516" width="20.28515625" style="2" customWidth="1"/>
    <col min="517" max="517" width="11.7109375" style="2" customWidth="1"/>
    <col min="518" max="518" width="11.5703125" style="2" customWidth="1"/>
    <col min="519" max="519" width="10.7109375" style="2" bestFit="1" customWidth="1"/>
    <col min="520" max="520" width="10" style="2" customWidth="1"/>
    <col min="521" max="521" width="10.5703125" style="2" customWidth="1"/>
    <col min="522" max="523" width="7.7109375" style="2" customWidth="1"/>
    <col min="524" max="524" width="8.7109375" style="2" customWidth="1"/>
    <col min="525" max="526" width="7.7109375" style="2" customWidth="1"/>
    <col min="527" max="527" width="9.28515625" style="2" customWidth="1"/>
    <col min="528" max="528" width="13.5703125" style="2" customWidth="1"/>
    <col min="529" max="529" width="12.7109375" style="2" customWidth="1"/>
    <col min="530" max="534" width="0" style="2" hidden="1" customWidth="1"/>
    <col min="535" max="769" width="11.42578125" style="2"/>
    <col min="770" max="770" width="22.42578125" style="2" customWidth="1"/>
    <col min="771" max="771" width="39.42578125" style="2" customWidth="1"/>
    <col min="772" max="772" width="20.28515625" style="2" customWidth="1"/>
    <col min="773" max="773" width="11.7109375" style="2" customWidth="1"/>
    <col min="774" max="774" width="11.5703125" style="2" customWidth="1"/>
    <col min="775" max="775" width="10.7109375" style="2" bestFit="1" customWidth="1"/>
    <col min="776" max="776" width="10" style="2" customWidth="1"/>
    <col min="777" max="777" width="10.5703125" style="2" customWidth="1"/>
    <col min="778" max="779" width="7.7109375" style="2" customWidth="1"/>
    <col min="780" max="780" width="8.7109375" style="2" customWidth="1"/>
    <col min="781" max="782" width="7.7109375" style="2" customWidth="1"/>
    <col min="783" max="783" width="9.28515625" style="2" customWidth="1"/>
    <col min="784" max="784" width="13.5703125" style="2" customWidth="1"/>
    <col min="785" max="785" width="12.7109375" style="2" customWidth="1"/>
    <col min="786" max="790" width="0" style="2" hidden="1" customWidth="1"/>
    <col min="791" max="1025" width="11.42578125" style="2"/>
    <col min="1026" max="1026" width="22.42578125" style="2" customWidth="1"/>
    <col min="1027" max="1027" width="39.42578125" style="2" customWidth="1"/>
    <col min="1028" max="1028" width="20.28515625" style="2" customWidth="1"/>
    <col min="1029" max="1029" width="11.7109375" style="2" customWidth="1"/>
    <col min="1030" max="1030" width="11.5703125" style="2" customWidth="1"/>
    <col min="1031" max="1031" width="10.7109375" style="2" bestFit="1" customWidth="1"/>
    <col min="1032" max="1032" width="10" style="2" customWidth="1"/>
    <col min="1033" max="1033" width="10.5703125" style="2" customWidth="1"/>
    <col min="1034" max="1035" width="7.7109375" style="2" customWidth="1"/>
    <col min="1036" max="1036" width="8.7109375" style="2" customWidth="1"/>
    <col min="1037" max="1038" width="7.7109375" style="2" customWidth="1"/>
    <col min="1039" max="1039" width="9.28515625" style="2" customWidth="1"/>
    <col min="1040" max="1040" width="13.5703125" style="2" customWidth="1"/>
    <col min="1041" max="1041" width="12.7109375" style="2" customWidth="1"/>
    <col min="1042" max="1046" width="0" style="2" hidden="1" customWidth="1"/>
    <col min="1047" max="1281" width="11.42578125" style="2"/>
    <col min="1282" max="1282" width="22.42578125" style="2" customWidth="1"/>
    <col min="1283" max="1283" width="39.42578125" style="2" customWidth="1"/>
    <col min="1284" max="1284" width="20.28515625" style="2" customWidth="1"/>
    <col min="1285" max="1285" width="11.7109375" style="2" customWidth="1"/>
    <col min="1286" max="1286" width="11.5703125" style="2" customWidth="1"/>
    <col min="1287" max="1287" width="10.7109375" style="2" bestFit="1" customWidth="1"/>
    <col min="1288" max="1288" width="10" style="2" customWidth="1"/>
    <col min="1289" max="1289" width="10.5703125" style="2" customWidth="1"/>
    <col min="1290" max="1291" width="7.7109375" style="2" customWidth="1"/>
    <col min="1292" max="1292" width="8.7109375" style="2" customWidth="1"/>
    <col min="1293" max="1294" width="7.7109375" style="2" customWidth="1"/>
    <col min="1295" max="1295" width="9.28515625" style="2" customWidth="1"/>
    <col min="1296" max="1296" width="13.5703125" style="2" customWidth="1"/>
    <col min="1297" max="1297" width="12.7109375" style="2" customWidth="1"/>
    <col min="1298" max="1302" width="0" style="2" hidden="1" customWidth="1"/>
    <col min="1303" max="1537" width="11.42578125" style="2"/>
    <col min="1538" max="1538" width="22.42578125" style="2" customWidth="1"/>
    <col min="1539" max="1539" width="39.42578125" style="2" customWidth="1"/>
    <col min="1540" max="1540" width="20.28515625" style="2" customWidth="1"/>
    <col min="1541" max="1541" width="11.7109375" style="2" customWidth="1"/>
    <col min="1542" max="1542" width="11.5703125" style="2" customWidth="1"/>
    <col min="1543" max="1543" width="10.7109375" style="2" bestFit="1" customWidth="1"/>
    <col min="1544" max="1544" width="10" style="2" customWidth="1"/>
    <col min="1545" max="1545" width="10.5703125" style="2" customWidth="1"/>
    <col min="1546" max="1547" width="7.7109375" style="2" customWidth="1"/>
    <col min="1548" max="1548" width="8.7109375" style="2" customWidth="1"/>
    <col min="1549" max="1550" width="7.7109375" style="2" customWidth="1"/>
    <col min="1551" max="1551" width="9.28515625" style="2" customWidth="1"/>
    <col min="1552" max="1552" width="13.5703125" style="2" customWidth="1"/>
    <col min="1553" max="1553" width="12.7109375" style="2" customWidth="1"/>
    <col min="1554" max="1558" width="0" style="2" hidden="1" customWidth="1"/>
    <col min="1559" max="1793" width="11.42578125" style="2"/>
    <col min="1794" max="1794" width="22.42578125" style="2" customWidth="1"/>
    <col min="1795" max="1795" width="39.42578125" style="2" customWidth="1"/>
    <col min="1796" max="1796" width="20.28515625" style="2" customWidth="1"/>
    <col min="1797" max="1797" width="11.7109375" style="2" customWidth="1"/>
    <col min="1798" max="1798" width="11.5703125" style="2" customWidth="1"/>
    <col min="1799" max="1799" width="10.7109375" style="2" bestFit="1" customWidth="1"/>
    <col min="1800" max="1800" width="10" style="2" customWidth="1"/>
    <col min="1801" max="1801" width="10.5703125" style="2" customWidth="1"/>
    <col min="1802" max="1803" width="7.7109375" style="2" customWidth="1"/>
    <col min="1804" max="1804" width="8.7109375" style="2" customWidth="1"/>
    <col min="1805" max="1806" width="7.7109375" style="2" customWidth="1"/>
    <col min="1807" max="1807" width="9.28515625" style="2" customWidth="1"/>
    <col min="1808" max="1808" width="13.5703125" style="2" customWidth="1"/>
    <col min="1809" max="1809" width="12.7109375" style="2" customWidth="1"/>
    <col min="1810" max="1814" width="0" style="2" hidden="1" customWidth="1"/>
    <col min="1815" max="2049" width="11.42578125" style="2"/>
    <col min="2050" max="2050" width="22.42578125" style="2" customWidth="1"/>
    <col min="2051" max="2051" width="39.42578125" style="2" customWidth="1"/>
    <col min="2052" max="2052" width="20.28515625" style="2" customWidth="1"/>
    <col min="2053" max="2053" width="11.7109375" style="2" customWidth="1"/>
    <col min="2054" max="2054" width="11.5703125" style="2" customWidth="1"/>
    <col min="2055" max="2055" width="10.7109375" style="2" bestFit="1" customWidth="1"/>
    <col min="2056" max="2056" width="10" style="2" customWidth="1"/>
    <col min="2057" max="2057" width="10.5703125" style="2" customWidth="1"/>
    <col min="2058" max="2059" width="7.7109375" style="2" customWidth="1"/>
    <col min="2060" max="2060" width="8.7109375" style="2" customWidth="1"/>
    <col min="2061" max="2062" width="7.7109375" style="2" customWidth="1"/>
    <col min="2063" max="2063" width="9.28515625" style="2" customWidth="1"/>
    <col min="2064" max="2064" width="13.5703125" style="2" customWidth="1"/>
    <col min="2065" max="2065" width="12.7109375" style="2" customWidth="1"/>
    <col min="2066" max="2070" width="0" style="2" hidden="1" customWidth="1"/>
    <col min="2071" max="2305" width="11.42578125" style="2"/>
    <col min="2306" max="2306" width="22.42578125" style="2" customWidth="1"/>
    <col min="2307" max="2307" width="39.42578125" style="2" customWidth="1"/>
    <col min="2308" max="2308" width="20.28515625" style="2" customWidth="1"/>
    <col min="2309" max="2309" width="11.7109375" style="2" customWidth="1"/>
    <col min="2310" max="2310" width="11.5703125" style="2" customWidth="1"/>
    <col min="2311" max="2311" width="10.7109375" style="2" bestFit="1" customWidth="1"/>
    <col min="2312" max="2312" width="10" style="2" customWidth="1"/>
    <col min="2313" max="2313" width="10.5703125" style="2" customWidth="1"/>
    <col min="2314" max="2315" width="7.7109375" style="2" customWidth="1"/>
    <col min="2316" max="2316" width="8.7109375" style="2" customWidth="1"/>
    <col min="2317" max="2318" width="7.7109375" style="2" customWidth="1"/>
    <col min="2319" max="2319" width="9.28515625" style="2" customWidth="1"/>
    <col min="2320" max="2320" width="13.5703125" style="2" customWidth="1"/>
    <col min="2321" max="2321" width="12.7109375" style="2" customWidth="1"/>
    <col min="2322" max="2326" width="0" style="2" hidden="1" customWidth="1"/>
    <col min="2327" max="2561" width="11.42578125" style="2"/>
    <col min="2562" max="2562" width="22.42578125" style="2" customWidth="1"/>
    <col min="2563" max="2563" width="39.42578125" style="2" customWidth="1"/>
    <col min="2564" max="2564" width="20.28515625" style="2" customWidth="1"/>
    <col min="2565" max="2565" width="11.7109375" style="2" customWidth="1"/>
    <col min="2566" max="2566" width="11.5703125" style="2" customWidth="1"/>
    <col min="2567" max="2567" width="10.7109375" style="2" bestFit="1" customWidth="1"/>
    <col min="2568" max="2568" width="10" style="2" customWidth="1"/>
    <col min="2569" max="2569" width="10.5703125" style="2" customWidth="1"/>
    <col min="2570" max="2571" width="7.7109375" style="2" customWidth="1"/>
    <col min="2572" max="2572" width="8.7109375" style="2" customWidth="1"/>
    <col min="2573" max="2574" width="7.7109375" style="2" customWidth="1"/>
    <col min="2575" max="2575" width="9.28515625" style="2" customWidth="1"/>
    <col min="2576" max="2576" width="13.5703125" style="2" customWidth="1"/>
    <col min="2577" max="2577" width="12.7109375" style="2" customWidth="1"/>
    <col min="2578" max="2582" width="0" style="2" hidden="1" customWidth="1"/>
    <col min="2583" max="2817" width="11.42578125" style="2"/>
    <col min="2818" max="2818" width="22.42578125" style="2" customWidth="1"/>
    <col min="2819" max="2819" width="39.42578125" style="2" customWidth="1"/>
    <col min="2820" max="2820" width="20.28515625" style="2" customWidth="1"/>
    <col min="2821" max="2821" width="11.7109375" style="2" customWidth="1"/>
    <col min="2822" max="2822" width="11.5703125" style="2" customWidth="1"/>
    <col min="2823" max="2823" width="10.7109375" style="2" bestFit="1" customWidth="1"/>
    <col min="2824" max="2824" width="10" style="2" customWidth="1"/>
    <col min="2825" max="2825" width="10.5703125" style="2" customWidth="1"/>
    <col min="2826" max="2827" width="7.7109375" style="2" customWidth="1"/>
    <col min="2828" max="2828" width="8.7109375" style="2" customWidth="1"/>
    <col min="2829" max="2830" width="7.7109375" style="2" customWidth="1"/>
    <col min="2831" max="2831" width="9.28515625" style="2" customWidth="1"/>
    <col min="2832" max="2832" width="13.5703125" style="2" customWidth="1"/>
    <col min="2833" max="2833" width="12.7109375" style="2" customWidth="1"/>
    <col min="2834" max="2838" width="0" style="2" hidden="1" customWidth="1"/>
    <col min="2839" max="3073" width="11.42578125" style="2"/>
    <col min="3074" max="3074" width="22.42578125" style="2" customWidth="1"/>
    <col min="3075" max="3075" width="39.42578125" style="2" customWidth="1"/>
    <col min="3076" max="3076" width="20.28515625" style="2" customWidth="1"/>
    <col min="3077" max="3077" width="11.7109375" style="2" customWidth="1"/>
    <col min="3078" max="3078" width="11.5703125" style="2" customWidth="1"/>
    <col min="3079" max="3079" width="10.7109375" style="2" bestFit="1" customWidth="1"/>
    <col min="3080" max="3080" width="10" style="2" customWidth="1"/>
    <col min="3081" max="3081" width="10.5703125" style="2" customWidth="1"/>
    <col min="3082" max="3083" width="7.7109375" style="2" customWidth="1"/>
    <col min="3084" max="3084" width="8.7109375" style="2" customWidth="1"/>
    <col min="3085" max="3086" width="7.7109375" style="2" customWidth="1"/>
    <col min="3087" max="3087" width="9.28515625" style="2" customWidth="1"/>
    <col min="3088" max="3088" width="13.5703125" style="2" customWidth="1"/>
    <col min="3089" max="3089" width="12.7109375" style="2" customWidth="1"/>
    <col min="3090" max="3094" width="0" style="2" hidden="1" customWidth="1"/>
    <col min="3095" max="3329" width="11.42578125" style="2"/>
    <col min="3330" max="3330" width="22.42578125" style="2" customWidth="1"/>
    <col min="3331" max="3331" width="39.42578125" style="2" customWidth="1"/>
    <col min="3332" max="3332" width="20.28515625" style="2" customWidth="1"/>
    <col min="3333" max="3333" width="11.7109375" style="2" customWidth="1"/>
    <col min="3334" max="3334" width="11.5703125" style="2" customWidth="1"/>
    <col min="3335" max="3335" width="10.7109375" style="2" bestFit="1" customWidth="1"/>
    <col min="3336" max="3336" width="10" style="2" customWidth="1"/>
    <col min="3337" max="3337" width="10.5703125" style="2" customWidth="1"/>
    <col min="3338" max="3339" width="7.7109375" style="2" customWidth="1"/>
    <col min="3340" max="3340" width="8.7109375" style="2" customWidth="1"/>
    <col min="3341" max="3342" width="7.7109375" style="2" customWidth="1"/>
    <col min="3343" max="3343" width="9.28515625" style="2" customWidth="1"/>
    <col min="3344" max="3344" width="13.5703125" style="2" customWidth="1"/>
    <col min="3345" max="3345" width="12.7109375" style="2" customWidth="1"/>
    <col min="3346" max="3350" width="0" style="2" hidden="1" customWidth="1"/>
    <col min="3351" max="3585" width="11.42578125" style="2"/>
    <col min="3586" max="3586" width="22.42578125" style="2" customWidth="1"/>
    <col min="3587" max="3587" width="39.42578125" style="2" customWidth="1"/>
    <col min="3588" max="3588" width="20.28515625" style="2" customWidth="1"/>
    <col min="3589" max="3589" width="11.7109375" style="2" customWidth="1"/>
    <col min="3590" max="3590" width="11.5703125" style="2" customWidth="1"/>
    <col min="3591" max="3591" width="10.7109375" style="2" bestFit="1" customWidth="1"/>
    <col min="3592" max="3592" width="10" style="2" customWidth="1"/>
    <col min="3593" max="3593" width="10.5703125" style="2" customWidth="1"/>
    <col min="3594" max="3595" width="7.7109375" style="2" customWidth="1"/>
    <col min="3596" max="3596" width="8.7109375" style="2" customWidth="1"/>
    <col min="3597" max="3598" width="7.7109375" style="2" customWidth="1"/>
    <col min="3599" max="3599" width="9.28515625" style="2" customWidth="1"/>
    <col min="3600" max="3600" width="13.5703125" style="2" customWidth="1"/>
    <col min="3601" max="3601" width="12.7109375" style="2" customWidth="1"/>
    <col min="3602" max="3606" width="0" style="2" hidden="1" customWidth="1"/>
    <col min="3607" max="3841" width="11.42578125" style="2"/>
    <col min="3842" max="3842" width="22.42578125" style="2" customWidth="1"/>
    <col min="3843" max="3843" width="39.42578125" style="2" customWidth="1"/>
    <col min="3844" max="3844" width="20.28515625" style="2" customWidth="1"/>
    <col min="3845" max="3845" width="11.7109375" style="2" customWidth="1"/>
    <col min="3846" max="3846" width="11.5703125" style="2" customWidth="1"/>
    <col min="3847" max="3847" width="10.7109375" style="2" bestFit="1" customWidth="1"/>
    <col min="3848" max="3848" width="10" style="2" customWidth="1"/>
    <col min="3849" max="3849" width="10.5703125" style="2" customWidth="1"/>
    <col min="3850" max="3851" width="7.7109375" style="2" customWidth="1"/>
    <col min="3852" max="3852" width="8.7109375" style="2" customWidth="1"/>
    <col min="3853" max="3854" width="7.7109375" style="2" customWidth="1"/>
    <col min="3855" max="3855" width="9.28515625" style="2" customWidth="1"/>
    <col min="3856" max="3856" width="13.5703125" style="2" customWidth="1"/>
    <col min="3857" max="3857" width="12.7109375" style="2" customWidth="1"/>
    <col min="3858" max="3862" width="0" style="2" hidden="1" customWidth="1"/>
    <col min="3863" max="4097" width="11.42578125" style="2"/>
    <col min="4098" max="4098" width="22.42578125" style="2" customWidth="1"/>
    <col min="4099" max="4099" width="39.42578125" style="2" customWidth="1"/>
    <col min="4100" max="4100" width="20.28515625" style="2" customWidth="1"/>
    <col min="4101" max="4101" width="11.7109375" style="2" customWidth="1"/>
    <col min="4102" max="4102" width="11.5703125" style="2" customWidth="1"/>
    <col min="4103" max="4103" width="10.7109375" style="2" bestFit="1" customWidth="1"/>
    <col min="4104" max="4104" width="10" style="2" customWidth="1"/>
    <col min="4105" max="4105" width="10.5703125" style="2" customWidth="1"/>
    <col min="4106" max="4107" width="7.7109375" style="2" customWidth="1"/>
    <col min="4108" max="4108" width="8.7109375" style="2" customWidth="1"/>
    <col min="4109" max="4110" width="7.7109375" style="2" customWidth="1"/>
    <col min="4111" max="4111" width="9.28515625" style="2" customWidth="1"/>
    <col min="4112" max="4112" width="13.5703125" style="2" customWidth="1"/>
    <col min="4113" max="4113" width="12.7109375" style="2" customWidth="1"/>
    <col min="4114" max="4118" width="0" style="2" hidden="1" customWidth="1"/>
    <col min="4119" max="4353" width="11.42578125" style="2"/>
    <col min="4354" max="4354" width="22.42578125" style="2" customWidth="1"/>
    <col min="4355" max="4355" width="39.42578125" style="2" customWidth="1"/>
    <col min="4356" max="4356" width="20.28515625" style="2" customWidth="1"/>
    <col min="4357" max="4357" width="11.7109375" style="2" customWidth="1"/>
    <col min="4358" max="4358" width="11.5703125" style="2" customWidth="1"/>
    <col min="4359" max="4359" width="10.7109375" style="2" bestFit="1" customWidth="1"/>
    <col min="4360" max="4360" width="10" style="2" customWidth="1"/>
    <col min="4361" max="4361" width="10.5703125" style="2" customWidth="1"/>
    <col min="4362" max="4363" width="7.7109375" style="2" customWidth="1"/>
    <col min="4364" max="4364" width="8.7109375" style="2" customWidth="1"/>
    <col min="4365" max="4366" width="7.7109375" style="2" customWidth="1"/>
    <col min="4367" max="4367" width="9.28515625" style="2" customWidth="1"/>
    <col min="4368" max="4368" width="13.5703125" style="2" customWidth="1"/>
    <col min="4369" max="4369" width="12.7109375" style="2" customWidth="1"/>
    <col min="4370" max="4374" width="0" style="2" hidden="1" customWidth="1"/>
    <col min="4375" max="4609" width="11.42578125" style="2"/>
    <col min="4610" max="4610" width="22.42578125" style="2" customWidth="1"/>
    <col min="4611" max="4611" width="39.42578125" style="2" customWidth="1"/>
    <col min="4612" max="4612" width="20.28515625" style="2" customWidth="1"/>
    <col min="4613" max="4613" width="11.7109375" style="2" customWidth="1"/>
    <col min="4614" max="4614" width="11.5703125" style="2" customWidth="1"/>
    <col min="4615" max="4615" width="10.7109375" style="2" bestFit="1" customWidth="1"/>
    <col min="4616" max="4616" width="10" style="2" customWidth="1"/>
    <col min="4617" max="4617" width="10.5703125" style="2" customWidth="1"/>
    <col min="4618" max="4619" width="7.7109375" style="2" customWidth="1"/>
    <col min="4620" max="4620" width="8.7109375" style="2" customWidth="1"/>
    <col min="4621" max="4622" width="7.7109375" style="2" customWidth="1"/>
    <col min="4623" max="4623" width="9.28515625" style="2" customWidth="1"/>
    <col min="4624" max="4624" width="13.5703125" style="2" customWidth="1"/>
    <col min="4625" max="4625" width="12.7109375" style="2" customWidth="1"/>
    <col min="4626" max="4630" width="0" style="2" hidden="1" customWidth="1"/>
    <col min="4631" max="4865" width="11.42578125" style="2"/>
    <col min="4866" max="4866" width="22.42578125" style="2" customWidth="1"/>
    <col min="4867" max="4867" width="39.42578125" style="2" customWidth="1"/>
    <col min="4868" max="4868" width="20.28515625" style="2" customWidth="1"/>
    <col min="4869" max="4869" width="11.7109375" style="2" customWidth="1"/>
    <col min="4870" max="4870" width="11.5703125" style="2" customWidth="1"/>
    <col min="4871" max="4871" width="10.7109375" style="2" bestFit="1" customWidth="1"/>
    <col min="4872" max="4872" width="10" style="2" customWidth="1"/>
    <col min="4873" max="4873" width="10.5703125" style="2" customWidth="1"/>
    <col min="4874" max="4875" width="7.7109375" style="2" customWidth="1"/>
    <col min="4876" max="4876" width="8.7109375" style="2" customWidth="1"/>
    <col min="4877" max="4878" width="7.7109375" style="2" customWidth="1"/>
    <col min="4879" max="4879" width="9.28515625" style="2" customWidth="1"/>
    <col min="4880" max="4880" width="13.5703125" style="2" customWidth="1"/>
    <col min="4881" max="4881" width="12.7109375" style="2" customWidth="1"/>
    <col min="4882" max="4886" width="0" style="2" hidden="1" customWidth="1"/>
    <col min="4887" max="5121" width="11.42578125" style="2"/>
    <col min="5122" max="5122" width="22.42578125" style="2" customWidth="1"/>
    <col min="5123" max="5123" width="39.42578125" style="2" customWidth="1"/>
    <col min="5124" max="5124" width="20.28515625" style="2" customWidth="1"/>
    <col min="5125" max="5125" width="11.7109375" style="2" customWidth="1"/>
    <col min="5126" max="5126" width="11.5703125" style="2" customWidth="1"/>
    <col min="5127" max="5127" width="10.7109375" style="2" bestFit="1" customWidth="1"/>
    <col min="5128" max="5128" width="10" style="2" customWidth="1"/>
    <col min="5129" max="5129" width="10.5703125" style="2" customWidth="1"/>
    <col min="5130" max="5131" width="7.7109375" style="2" customWidth="1"/>
    <col min="5132" max="5132" width="8.7109375" style="2" customWidth="1"/>
    <col min="5133" max="5134" width="7.7109375" style="2" customWidth="1"/>
    <col min="5135" max="5135" width="9.28515625" style="2" customWidth="1"/>
    <col min="5136" max="5136" width="13.5703125" style="2" customWidth="1"/>
    <col min="5137" max="5137" width="12.7109375" style="2" customWidth="1"/>
    <col min="5138" max="5142" width="0" style="2" hidden="1" customWidth="1"/>
    <col min="5143" max="5377" width="11.42578125" style="2"/>
    <col min="5378" max="5378" width="22.42578125" style="2" customWidth="1"/>
    <col min="5379" max="5379" width="39.42578125" style="2" customWidth="1"/>
    <col min="5380" max="5380" width="20.28515625" style="2" customWidth="1"/>
    <col min="5381" max="5381" width="11.7109375" style="2" customWidth="1"/>
    <col min="5382" max="5382" width="11.5703125" style="2" customWidth="1"/>
    <col min="5383" max="5383" width="10.7109375" style="2" bestFit="1" customWidth="1"/>
    <col min="5384" max="5384" width="10" style="2" customWidth="1"/>
    <col min="5385" max="5385" width="10.5703125" style="2" customWidth="1"/>
    <col min="5386" max="5387" width="7.7109375" style="2" customWidth="1"/>
    <col min="5388" max="5388" width="8.7109375" style="2" customWidth="1"/>
    <col min="5389" max="5390" width="7.7109375" style="2" customWidth="1"/>
    <col min="5391" max="5391" width="9.28515625" style="2" customWidth="1"/>
    <col min="5392" max="5392" width="13.5703125" style="2" customWidth="1"/>
    <col min="5393" max="5393" width="12.7109375" style="2" customWidth="1"/>
    <col min="5394" max="5398" width="0" style="2" hidden="1" customWidth="1"/>
    <col min="5399" max="5633" width="11.42578125" style="2"/>
    <col min="5634" max="5634" width="22.42578125" style="2" customWidth="1"/>
    <col min="5635" max="5635" width="39.42578125" style="2" customWidth="1"/>
    <col min="5636" max="5636" width="20.28515625" style="2" customWidth="1"/>
    <col min="5637" max="5637" width="11.7109375" style="2" customWidth="1"/>
    <col min="5638" max="5638" width="11.5703125" style="2" customWidth="1"/>
    <col min="5639" max="5639" width="10.7109375" style="2" bestFit="1" customWidth="1"/>
    <col min="5640" max="5640" width="10" style="2" customWidth="1"/>
    <col min="5641" max="5641" width="10.5703125" style="2" customWidth="1"/>
    <col min="5642" max="5643" width="7.7109375" style="2" customWidth="1"/>
    <col min="5644" max="5644" width="8.7109375" style="2" customWidth="1"/>
    <col min="5645" max="5646" width="7.7109375" style="2" customWidth="1"/>
    <col min="5647" max="5647" width="9.28515625" style="2" customWidth="1"/>
    <col min="5648" max="5648" width="13.5703125" style="2" customWidth="1"/>
    <col min="5649" max="5649" width="12.7109375" style="2" customWidth="1"/>
    <col min="5650" max="5654" width="0" style="2" hidden="1" customWidth="1"/>
    <col min="5655" max="5889" width="11.42578125" style="2"/>
    <col min="5890" max="5890" width="22.42578125" style="2" customWidth="1"/>
    <col min="5891" max="5891" width="39.42578125" style="2" customWidth="1"/>
    <col min="5892" max="5892" width="20.28515625" style="2" customWidth="1"/>
    <col min="5893" max="5893" width="11.7109375" style="2" customWidth="1"/>
    <col min="5894" max="5894" width="11.5703125" style="2" customWidth="1"/>
    <col min="5895" max="5895" width="10.7109375" style="2" bestFit="1" customWidth="1"/>
    <col min="5896" max="5896" width="10" style="2" customWidth="1"/>
    <col min="5897" max="5897" width="10.5703125" style="2" customWidth="1"/>
    <col min="5898" max="5899" width="7.7109375" style="2" customWidth="1"/>
    <col min="5900" max="5900" width="8.7109375" style="2" customWidth="1"/>
    <col min="5901" max="5902" width="7.7109375" style="2" customWidth="1"/>
    <col min="5903" max="5903" width="9.28515625" style="2" customWidth="1"/>
    <col min="5904" max="5904" width="13.5703125" style="2" customWidth="1"/>
    <col min="5905" max="5905" width="12.7109375" style="2" customWidth="1"/>
    <col min="5906" max="5910" width="0" style="2" hidden="1" customWidth="1"/>
    <col min="5911" max="6145" width="11.42578125" style="2"/>
    <col min="6146" max="6146" width="22.42578125" style="2" customWidth="1"/>
    <col min="6147" max="6147" width="39.42578125" style="2" customWidth="1"/>
    <col min="6148" max="6148" width="20.28515625" style="2" customWidth="1"/>
    <col min="6149" max="6149" width="11.7109375" style="2" customWidth="1"/>
    <col min="6150" max="6150" width="11.5703125" style="2" customWidth="1"/>
    <col min="6151" max="6151" width="10.7109375" style="2" bestFit="1" customWidth="1"/>
    <col min="6152" max="6152" width="10" style="2" customWidth="1"/>
    <col min="6153" max="6153" width="10.5703125" style="2" customWidth="1"/>
    <col min="6154" max="6155" width="7.7109375" style="2" customWidth="1"/>
    <col min="6156" max="6156" width="8.7109375" style="2" customWidth="1"/>
    <col min="6157" max="6158" width="7.7109375" style="2" customWidth="1"/>
    <col min="6159" max="6159" width="9.28515625" style="2" customWidth="1"/>
    <col min="6160" max="6160" width="13.5703125" style="2" customWidth="1"/>
    <col min="6161" max="6161" width="12.7109375" style="2" customWidth="1"/>
    <col min="6162" max="6166" width="0" style="2" hidden="1" customWidth="1"/>
    <col min="6167" max="6401" width="11.42578125" style="2"/>
    <col min="6402" max="6402" width="22.42578125" style="2" customWidth="1"/>
    <col min="6403" max="6403" width="39.42578125" style="2" customWidth="1"/>
    <col min="6404" max="6404" width="20.28515625" style="2" customWidth="1"/>
    <col min="6405" max="6405" width="11.7109375" style="2" customWidth="1"/>
    <col min="6406" max="6406" width="11.5703125" style="2" customWidth="1"/>
    <col min="6407" max="6407" width="10.7109375" style="2" bestFit="1" customWidth="1"/>
    <col min="6408" max="6408" width="10" style="2" customWidth="1"/>
    <col min="6409" max="6409" width="10.5703125" style="2" customWidth="1"/>
    <col min="6410" max="6411" width="7.7109375" style="2" customWidth="1"/>
    <col min="6412" max="6412" width="8.7109375" style="2" customWidth="1"/>
    <col min="6413" max="6414" width="7.7109375" style="2" customWidth="1"/>
    <col min="6415" max="6415" width="9.28515625" style="2" customWidth="1"/>
    <col min="6416" max="6416" width="13.5703125" style="2" customWidth="1"/>
    <col min="6417" max="6417" width="12.7109375" style="2" customWidth="1"/>
    <col min="6418" max="6422" width="0" style="2" hidden="1" customWidth="1"/>
    <col min="6423" max="6657" width="11.42578125" style="2"/>
    <col min="6658" max="6658" width="22.42578125" style="2" customWidth="1"/>
    <col min="6659" max="6659" width="39.42578125" style="2" customWidth="1"/>
    <col min="6660" max="6660" width="20.28515625" style="2" customWidth="1"/>
    <col min="6661" max="6661" width="11.7109375" style="2" customWidth="1"/>
    <col min="6662" max="6662" width="11.5703125" style="2" customWidth="1"/>
    <col min="6663" max="6663" width="10.7109375" style="2" bestFit="1" customWidth="1"/>
    <col min="6664" max="6664" width="10" style="2" customWidth="1"/>
    <col min="6665" max="6665" width="10.5703125" style="2" customWidth="1"/>
    <col min="6666" max="6667" width="7.7109375" style="2" customWidth="1"/>
    <col min="6668" max="6668" width="8.7109375" style="2" customWidth="1"/>
    <col min="6669" max="6670" width="7.7109375" style="2" customWidth="1"/>
    <col min="6671" max="6671" width="9.28515625" style="2" customWidth="1"/>
    <col min="6672" max="6672" width="13.5703125" style="2" customWidth="1"/>
    <col min="6673" max="6673" width="12.7109375" style="2" customWidth="1"/>
    <col min="6674" max="6678" width="0" style="2" hidden="1" customWidth="1"/>
    <col min="6679" max="6913" width="11.42578125" style="2"/>
    <col min="6914" max="6914" width="22.42578125" style="2" customWidth="1"/>
    <col min="6915" max="6915" width="39.42578125" style="2" customWidth="1"/>
    <col min="6916" max="6916" width="20.28515625" style="2" customWidth="1"/>
    <col min="6917" max="6917" width="11.7109375" style="2" customWidth="1"/>
    <col min="6918" max="6918" width="11.5703125" style="2" customWidth="1"/>
    <col min="6919" max="6919" width="10.7109375" style="2" bestFit="1" customWidth="1"/>
    <col min="6920" max="6920" width="10" style="2" customWidth="1"/>
    <col min="6921" max="6921" width="10.5703125" style="2" customWidth="1"/>
    <col min="6922" max="6923" width="7.7109375" style="2" customWidth="1"/>
    <col min="6924" max="6924" width="8.7109375" style="2" customWidth="1"/>
    <col min="6925" max="6926" width="7.7109375" style="2" customWidth="1"/>
    <col min="6927" max="6927" width="9.28515625" style="2" customWidth="1"/>
    <col min="6928" max="6928" width="13.5703125" style="2" customWidth="1"/>
    <col min="6929" max="6929" width="12.7109375" style="2" customWidth="1"/>
    <col min="6930" max="6934" width="0" style="2" hidden="1" customWidth="1"/>
    <col min="6935" max="7169" width="11.42578125" style="2"/>
    <col min="7170" max="7170" width="22.42578125" style="2" customWidth="1"/>
    <col min="7171" max="7171" width="39.42578125" style="2" customWidth="1"/>
    <col min="7172" max="7172" width="20.28515625" style="2" customWidth="1"/>
    <col min="7173" max="7173" width="11.7109375" style="2" customWidth="1"/>
    <col min="7174" max="7174" width="11.5703125" style="2" customWidth="1"/>
    <col min="7175" max="7175" width="10.7109375" style="2" bestFit="1" customWidth="1"/>
    <col min="7176" max="7176" width="10" style="2" customWidth="1"/>
    <col min="7177" max="7177" width="10.5703125" style="2" customWidth="1"/>
    <col min="7178" max="7179" width="7.7109375" style="2" customWidth="1"/>
    <col min="7180" max="7180" width="8.7109375" style="2" customWidth="1"/>
    <col min="7181" max="7182" width="7.7109375" style="2" customWidth="1"/>
    <col min="7183" max="7183" width="9.28515625" style="2" customWidth="1"/>
    <col min="7184" max="7184" width="13.5703125" style="2" customWidth="1"/>
    <col min="7185" max="7185" width="12.7109375" style="2" customWidth="1"/>
    <col min="7186" max="7190" width="0" style="2" hidden="1" customWidth="1"/>
    <col min="7191" max="7425" width="11.42578125" style="2"/>
    <col min="7426" max="7426" width="22.42578125" style="2" customWidth="1"/>
    <col min="7427" max="7427" width="39.42578125" style="2" customWidth="1"/>
    <col min="7428" max="7428" width="20.28515625" style="2" customWidth="1"/>
    <col min="7429" max="7429" width="11.7109375" style="2" customWidth="1"/>
    <col min="7430" max="7430" width="11.5703125" style="2" customWidth="1"/>
    <col min="7431" max="7431" width="10.7109375" style="2" bestFit="1" customWidth="1"/>
    <col min="7432" max="7432" width="10" style="2" customWidth="1"/>
    <col min="7433" max="7433" width="10.5703125" style="2" customWidth="1"/>
    <col min="7434" max="7435" width="7.7109375" style="2" customWidth="1"/>
    <col min="7436" max="7436" width="8.7109375" style="2" customWidth="1"/>
    <col min="7437" max="7438" width="7.7109375" style="2" customWidth="1"/>
    <col min="7439" max="7439" width="9.28515625" style="2" customWidth="1"/>
    <col min="7440" max="7440" width="13.5703125" style="2" customWidth="1"/>
    <col min="7441" max="7441" width="12.7109375" style="2" customWidth="1"/>
    <col min="7442" max="7446" width="0" style="2" hidden="1" customWidth="1"/>
    <col min="7447" max="7681" width="11.42578125" style="2"/>
    <col min="7682" max="7682" width="22.42578125" style="2" customWidth="1"/>
    <col min="7683" max="7683" width="39.42578125" style="2" customWidth="1"/>
    <col min="7684" max="7684" width="20.28515625" style="2" customWidth="1"/>
    <col min="7685" max="7685" width="11.7109375" style="2" customWidth="1"/>
    <col min="7686" max="7686" width="11.5703125" style="2" customWidth="1"/>
    <col min="7687" max="7687" width="10.7109375" style="2" bestFit="1" customWidth="1"/>
    <col min="7688" max="7688" width="10" style="2" customWidth="1"/>
    <col min="7689" max="7689" width="10.5703125" style="2" customWidth="1"/>
    <col min="7690" max="7691" width="7.7109375" style="2" customWidth="1"/>
    <col min="7692" max="7692" width="8.7109375" style="2" customWidth="1"/>
    <col min="7693" max="7694" width="7.7109375" style="2" customWidth="1"/>
    <col min="7695" max="7695" width="9.28515625" style="2" customWidth="1"/>
    <col min="7696" max="7696" width="13.5703125" style="2" customWidth="1"/>
    <col min="7697" max="7697" width="12.7109375" style="2" customWidth="1"/>
    <col min="7698" max="7702" width="0" style="2" hidden="1" customWidth="1"/>
    <col min="7703" max="7937" width="11.42578125" style="2"/>
    <col min="7938" max="7938" width="22.42578125" style="2" customWidth="1"/>
    <col min="7939" max="7939" width="39.42578125" style="2" customWidth="1"/>
    <col min="7940" max="7940" width="20.28515625" style="2" customWidth="1"/>
    <col min="7941" max="7941" width="11.7109375" style="2" customWidth="1"/>
    <col min="7942" max="7942" width="11.5703125" style="2" customWidth="1"/>
    <col min="7943" max="7943" width="10.7109375" style="2" bestFit="1" customWidth="1"/>
    <col min="7944" max="7944" width="10" style="2" customWidth="1"/>
    <col min="7945" max="7945" width="10.5703125" style="2" customWidth="1"/>
    <col min="7946" max="7947" width="7.7109375" style="2" customWidth="1"/>
    <col min="7948" max="7948" width="8.7109375" style="2" customWidth="1"/>
    <col min="7949" max="7950" width="7.7109375" style="2" customWidth="1"/>
    <col min="7951" max="7951" width="9.28515625" style="2" customWidth="1"/>
    <col min="7952" max="7952" width="13.5703125" style="2" customWidth="1"/>
    <col min="7953" max="7953" width="12.7109375" style="2" customWidth="1"/>
    <col min="7954" max="7958" width="0" style="2" hidden="1" customWidth="1"/>
    <col min="7959" max="8193" width="11.42578125" style="2"/>
    <col min="8194" max="8194" width="22.42578125" style="2" customWidth="1"/>
    <col min="8195" max="8195" width="39.42578125" style="2" customWidth="1"/>
    <col min="8196" max="8196" width="20.28515625" style="2" customWidth="1"/>
    <col min="8197" max="8197" width="11.7109375" style="2" customWidth="1"/>
    <col min="8198" max="8198" width="11.5703125" style="2" customWidth="1"/>
    <col min="8199" max="8199" width="10.7109375" style="2" bestFit="1" customWidth="1"/>
    <col min="8200" max="8200" width="10" style="2" customWidth="1"/>
    <col min="8201" max="8201" width="10.5703125" style="2" customWidth="1"/>
    <col min="8202" max="8203" width="7.7109375" style="2" customWidth="1"/>
    <col min="8204" max="8204" width="8.7109375" style="2" customWidth="1"/>
    <col min="8205" max="8206" width="7.7109375" style="2" customWidth="1"/>
    <col min="8207" max="8207" width="9.28515625" style="2" customWidth="1"/>
    <col min="8208" max="8208" width="13.5703125" style="2" customWidth="1"/>
    <col min="8209" max="8209" width="12.7109375" style="2" customWidth="1"/>
    <col min="8210" max="8214" width="0" style="2" hidden="1" customWidth="1"/>
    <col min="8215" max="8449" width="11.42578125" style="2"/>
    <col min="8450" max="8450" width="22.42578125" style="2" customWidth="1"/>
    <col min="8451" max="8451" width="39.42578125" style="2" customWidth="1"/>
    <col min="8452" max="8452" width="20.28515625" style="2" customWidth="1"/>
    <col min="8453" max="8453" width="11.7109375" style="2" customWidth="1"/>
    <col min="8454" max="8454" width="11.5703125" style="2" customWidth="1"/>
    <col min="8455" max="8455" width="10.7109375" style="2" bestFit="1" customWidth="1"/>
    <col min="8456" max="8456" width="10" style="2" customWidth="1"/>
    <col min="8457" max="8457" width="10.5703125" style="2" customWidth="1"/>
    <col min="8458" max="8459" width="7.7109375" style="2" customWidth="1"/>
    <col min="8460" max="8460" width="8.7109375" style="2" customWidth="1"/>
    <col min="8461" max="8462" width="7.7109375" style="2" customWidth="1"/>
    <col min="8463" max="8463" width="9.28515625" style="2" customWidth="1"/>
    <col min="8464" max="8464" width="13.5703125" style="2" customWidth="1"/>
    <col min="8465" max="8465" width="12.7109375" style="2" customWidth="1"/>
    <col min="8466" max="8470" width="0" style="2" hidden="1" customWidth="1"/>
    <col min="8471" max="8705" width="11.42578125" style="2"/>
    <col min="8706" max="8706" width="22.42578125" style="2" customWidth="1"/>
    <col min="8707" max="8707" width="39.42578125" style="2" customWidth="1"/>
    <col min="8708" max="8708" width="20.28515625" style="2" customWidth="1"/>
    <col min="8709" max="8709" width="11.7109375" style="2" customWidth="1"/>
    <col min="8710" max="8710" width="11.5703125" style="2" customWidth="1"/>
    <col min="8711" max="8711" width="10.7109375" style="2" bestFit="1" customWidth="1"/>
    <col min="8712" max="8712" width="10" style="2" customWidth="1"/>
    <col min="8713" max="8713" width="10.5703125" style="2" customWidth="1"/>
    <col min="8714" max="8715" width="7.7109375" style="2" customWidth="1"/>
    <col min="8716" max="8716" width="8.7109375" style="2" customWidth="1"/>
    <col min="8717" max="8718" width="7.7109375" style="2" customWidth="1"/>
    <col min="8719" max="8719" width="9.28515625" style="2" customWidth="1"/>
    <col min="8720" max="8720" width="13.5703125" style="2" customWidth="1"/>
    <col min="8721" max="8721" width="12.7109375" style="2" customWidth="1"/>
    <col min="8722" max="8726" width="0" style="2" hidden="1" customWidth="1"/>
    <col min="8727" max="8961" width="11.42578125" style="2"/>
    <col min="8962" max="8962" width="22.42578125" style="2" customWidth="1"/>
    <col min="8963" max="8963" width="39.42578125" style="2" customWidth="1"/>
    <col min="8964" max="8964" width="20.28515625" style="2" customWidth="1"/>
    <col min="8965" max="8965" width="11.7109375" style="2" customWidth="1"/>
    <col min="8966" max="8966" width="11.5703125" style="2" customWidth="1"/>
    <col min="8967" max="8967" width="10.7109375" style="2" bestFit="1" customWidth="1"/>
    <col min="8968" max="8968" width="10" style="2" customWidth="1"/>
    <col min="8969" max="8969" width="10.5703125" style="2" customWidth="1"/>
    <col min="8970" max="8971" width="7.7109375" style="2" customWidth="1"/>
    <col min="8972" max="8972" width="8.7109375" style="2" customWidth="1"/>
    <col min="8973" max="8974" width="7.7109375" style="2" customWidth="1"/>
    <col min="8975" max="8975" width="9.28515625" style="2" customWidth="1"/>
    <col min="8976" max="8976" width="13.5703125" style="2" customWidth="1"/>
    <col min="8977" max="8977" width="12.7109375" style="2" customWidth="1"/>
    <col min="8978" max="8982" width="0" style="2" hidden="1" customWidth="1"/>
    <col min="8983" max="9217" width="11.42578125" style="2"/>
    <col min="9218" max="9218" width="22.42578125" style="2" customWidth="1"/>
    <col min="9219" max="9219" width="39.42578125" style="2" customWidth="1"/>
    <col min="9220" max="9220" width="20.28515625" style="2" customWidth="1"/>
    <col min="9221" max="9221" width="11.7109375" style="2" customWidth="1"/>
    <col min="9222" max="9222" width="11.5703125" style="2" customWidth="1"/>
    <col min="9223" max="9223" width="10.7109375" style="2" bestFit="1" customWidth="1"/>
    <col min="9224" max="9224" width="10" style="2" customWidth="1"/>
    <col min="9225" max="9225" width="10.5703125" style="2" customWidth="1"/>
    <col min="9226" max="9227" width="7.7109375" style="2" customWidth="1"/>
    <col min="9228" max="9228" width="8.7109375" style="2" customWidth="1"/>
    <col min="9229" max="9230" width="7.7109375" style="2" customWidth="1"/>
    <col min="9231" max="9231" width="9.28515625" style="2" customWidth="1"/>
    <col min="9232" max="9232" width="13.5703125" style="2" customWidth="1"/>
    <col min="9233" max="9233" width="12.7109375" style="2" customWidth="1"/>
    <col min="9234" max="9238" width="0" style="2" hidden="1" customWidth="1"/>
    <col min="9239" max="9473" width="11.42578125" style="2"/>
    <col min="9474" max="9474" width="22.42578125" style="2" customWidth="1"/>
    <col min="9475" max="9475" width="39.42578125" style="2" customWidth="1"/>
    <col min="9476" max="9476" width="20.28515625" style="2" customWidth="1"/>
    <col min="9477" max="9477" width="11.7109375" style="2" customWidth="1"/>
    <col min="9478" max="9478" width="11.5703125" style="2" customWidth="1"/>
    <col min="9479" max="9479" width="10.7109375" style="2" bestFit="1" customWidth="1"/>
    <col min="9480" max="9480" width="10" style="2" customWidth="1"/>
    <col min="9481" max="9481" width="10.5703125" style="2" customWidth="1"/>
    <col min="9482" max="9483" width="7.7109375" style="2" customWidth="1"/>
    <col min="9484" max="9484" width="8.7109375" style="2" customWidth="1"/>
    <col min="9485" max="9486" width="7.7109375" style="2" customWidth="1"/>
    <col min="9487" max="9487" width="9.28515625" style="2" customWidth="1"/>
    <col min="9488" max="9488" width="13.5703125" style="2" customWidth="1"/>
    <col min="9489" max="9489" width="12.7109375" style="2" customWidth="1"/>
    <col min="9490" max="9494" width="0" style="2" hidden="1" customWidth="1"/>
    <col min="9495" max="9729" width="11.42578125" style="2"/>
    <col min="9730" max="9730" width="22.42578125" style="2" customWidth="1"/>
    <col min="9731" max="9731" width="39.42578125" style="2" customWidth="1"/>
    <col min="9732" max="9732" width="20.28515625" style="2" customWidth="1"/>
    <col min="9733" max="9733" width="11.7109375" style="2" customWidth="1"/>
    <col min="9734" max="9734" width="11.5703125" style="2" customWidth="1"/>
    <col min="9735" max="9735" width="10.7109375" style="2" bestFit="1" customWidth="1"/>
    <col min="9736" max="9736" width="10" style="2" customWidth="1"/>
    <col min="9737" max="9737" width="10.5703125" style="2" customWidth="1"/>
    <col min="9738" max="9739" width="7.7109375" style="2" customWidth="1"/>
    <col min="9740" max="9740" width="8.7109375" style="2" customWidth="1"/>
    <col min="9741" max="9742" width="7.7109375" style="2" customWidth="1"/>
    <col min="9743" max="9743" width="9.28515625" style="2" customWidth="1"/>
    <col min="9744" max="9744" width="13.5703125" style="2" customWidth="1"/>
    <col min="9745" max="9745" width="12.7109375" style="2" customWidth="1"/>
    <col min="9746" max="9750" width="0" style="2" hidden="1" customWidth="1"/>
    <col min="9751" max="9985" width="11.42578125" style="2"/>
    <col min="9986" max="9986" width="22.42578125" style="2" customWidth="1"/>
    <col min="9987" max="9987" width="39.42578125" style="2" customWidth="1"/>
    <col min="9988" max="9988" width="20.28515625" style="2" customWidth="1"/>
    <col min="9989" max="9989" width="11.7109375" style="2" customWidth="1"/>
    <col min="9990" max="9990" width="11.5703125" style="2" customWidth="1"/>
    <col min="9991" max="9991" width="10.7109375" style="2" bestFit="1" customWidth="1"/>
    <col min="9992" max="9992" width="10" style="2" customWidth="1"/>
    <col min="9993" max="9993" width="10.5703125" style="2" customWidth="1"/>
    <col min="9994" max="9995" width="7.7109375" style="2" customWidth="1"/>
    <col min="9996" max="9996" width="8.7109375" style="2" customWidth="1"/>
    <col min="9997" max="9998" width="7.7109375" style="2" customWidth="1"/>
    <col min="9999" max="9999" width="9.28515625" style="2" customWidth="1"/>
    <col min="10000" max="10000" width="13.5703125" style="2" customWidth="1"/>
    <col min="10001" max="10001" width="12.7109375" style="2" customWidth="1"/>
    <col min="10002" max="10006" width="0" style="2" hidden="1" customWidth="1"/>
    <col min="10007" max="10241" width="11.42578125" style="2"/>
    <col min="10242" max="10242" width="22.42578125" style="2" customWidth="1"/>
    <col min="10243" max="10243" width="39.42578125" style="2" customWidth="1"/>
    <col min="10244" max="10244" width="20.28515625" style="2" customWidth="1"/>
    <col min="10245" max="10245" width="11.7109375" style="2" customWidth="1"/>
    <col min="10246" max="10246" width="11.5703125" style="2" customWidth="1"/>
    <col min="10247" max="10247" width="10.7109375" style="2" bestFit="1" customWidth="1"/>
    <col min="10248" max="10248" width="10" style="2" customWidth="1"/>
    <col min="10249" max="10249" width="10.5703125" style="2" customWidth="1"/>
    <col min="10250" max="10251" width="7.7109375" style="2" customWidth="1"/>
    <col min="10252" max="10252" width="8.7109375" style="2" customWidth="1"/>
    <col min="10253" max="10254" width="7.7109375" style="2" customWidth="1"/>
    <col min="10255" max="10255" width="9.28515625" style="2" customWidth="1"/>
    <col min="10256" max="10256" width="13.5703125" style="2" customWidth="1"/>
    <col min="10257" max="10257" width="12.7109375" style="2" customWidth="1"/>
    <col min="10258" max="10262" width="0" style="2" hidden="1" customWidth="1"/>
    <col min="10263" max="10497" width="11.42578125" style="2"/>
    <col min="10498" max="10498" width="22.42578125" style="2" customWidth="1"/>
    <col min="10499" max="10499" width="39.42578125" style="2" customWidth="1"/>
    <col min="10500" max="10500" width="20.28515625" style="2" customWidth="1"/>
    <col min="10501" max="10501" width="11.7109375" style="2" customWidth="1"/>
    <col min="10502" max="10502" width="11.5703125" style="2" customWidth="1"/>
    <col min="10503" max="10503" width="10.7109375" style="2" bestFit="1" customWidth="1"/>
    <col min="10504" max="10504" width="10" style="2" customWidth="1"/>
    <col min="10505" max="10505" width="10.5703125" style="2" customWidth="1"/>
    <col min="10506" max="10507" width="7.7109375" style="2" customWidth="1"/>
    <col min="10508" max="10508" width="8.7109375" style="2" customWidth="1"/>
    <col min="10509" max="10510" width="7.7109375" style="2" customWidth="1"/>
    <col min="10511" max="10511" width="9.28515625" style="2" customWidth="1"/>
    <col min="10512" max="10512" width="13.5703125" style="2" customWidth="1"/>
    <col min="10513" max="10513" width="12.7109375" style="2" customWidth="1"/>
    <col min="10514" max="10518" width="0" style="2" hidden="1" customWidth="1"/>
    <col min="10519" max="10753" width="11.42578125" style="2"/>
    <col min="10754" max="10754" width="22.42578125" style="2" customWidth="1"/>
    <col min="10755" max="10755" width="39.42578125" style="2" customWidth="1"/>
    <col min="10756" max="10756" width="20.28515625" style="2" customWidth="1"/>
    <col min="10757" max="10757" width="11.7109375" style="2" customWidth="1"/>
    <col min="10758" max="10758" width="11.5703125" style="2" customWidth="1"/>
    <col min="10759" max="10759" width="10.7109375" style="2" bestFit="1" customWidth="1"/>
    <col min="10760" max="10760" width="10" style="2" customWidth="1"/>
    <col min="10761" max="10761" width="10.5703125" style="2" customWidth="1"/>
    <col min="10762" max="10763" width="7.7109375" style="2" customWidth="1"/>
    <col min="10764" max="10764" width="8.7109375" style="2" customWidth="1"/>
    <col min="10765" max="10766" width="7.7109375" style="2" customWidth="1"/>
    <col min="10767" max="10767" width="9.28515625" style="2" customWidth="1"/>
    <col min="10768" max="10768" width="13.5703125" style="2" customWidth="1"/>
    <col min="10769" max="10769" width="12.7109375" style="2" customWidth="1"/>
    <col min="10770" max="10774" width="0" style="2" hidden="1" customWidth="1"/>
    <col min="10775" max="11009" width="11.42578125" style="2"/>
    <col min="11010" max="11010" width="22.42578125" style="2" customWidth="1"/>
    <col min="11011" max="11011" width="39.42578125" style="2" customWidth="1"/>
    <col min="11012" max="11012" width="20.28515625" style="2" customWidth="1"/>
    <col min="11013" max="11013" width="11.7109375" style="2" customWidth="1"/>
    <col min="11014" max="11014" width="11.5703125" style="2" customWidth="1"/>
    <col min="11015" max="11015" width="10.7109375" style="2" bestFit="1" customWidth="1"/>
    <col min="11016" max="11016" width="10" style="2" customWidth="1"/>
    <col min="11017" max="11017" width="10.5703125" style="2" customWidth="1"/>
    <col min="11018" max="11019" width="7.7109375" style="2" customWidth="1"/>
    <col min="11020" max="11020" width="8.7109375" style="2" customWidth="1"/>
    <col min="11021" max="11022" width="7.7109375" style="2" customWidth="1"/>
    <col min="11023" max="11023" width="9.28515625" style="2" customWidth="1"/>
    <col min="11024" max="11024" width="13.5703125" style="2" customWidth="1"/>
    <col min="11025" max="11025" width="12.7109375" style="2" customWidth="1"/>
    <col min="11026" max="11030" width="0" style="2" hidden="1" customWidth="1"/>
    <col min="11031" max="11265" width="11.42578125" style="2"/>
    <col min="11266" max="11266" width="22.42578125" style="2" customWidth="1"/>
    <col min="11267" max="11267" width="39.42578125" style="2" customWidth="1"/>
    <col min="11268" max="11268" width="20.28515625" style="2" customWidth="1"/>
    <col min="11269" max="11269" width="11.7109375" style="2" customWidth="1"/>
    <col min="11270" max="11270" width="11.5703125" style="2" customWidth="1"/>
    <col min="11271" max="11271" width="10.7109375" style="2" bestFit="1" customWidth="1"/>
    <col min="11272" max="11272" width="10" style="2" customWidth="1"/>
    <col min="11273" max="11273" width="10.5703125" style="2" customWidth="1"/>
    <col min="11274" max="11275" width="7.7109375" style="2" customWidth="1"/>
    <col min="11276" max="11276" width="8.7109375" style="2" customWidth="1"/>
    <col min="11277" max="11278" width="7.7109375" style="2" customWidth="1"/>
    <col min="11279" max="11279" width="9.28515625" style="2" customWidth="1"/>
    <col min="11280" max="11280" width="13.5703125" style="2" customWidth="1"/>
    <col min="11281" max="11281" width="12.7109375" style="2" customWidth="1"/>
    <col min="11282" max="11286" width="0" style="2" hidden="1" customWidth="1"/>
    <col min="11287" max="11521" width="11.42578125" style="2"/>
    <col min="11522" max="11522" width="22.42578125" style="2" customWidth="1"/>
    <col min="11523" max="11523" width="39.42578125" style="2" customWidth="1"/>
    <col min="11524" max="11524" width="20.28515625" style="2" customWidth="1"/>
    <col min="11525" max="11525" width="11.7109375" style="2" customWidth="1"/>
    <col min="11526" max="11526" width="11.5703125" style="2" customWidth="1"/>
    <col min="11527" max="11527" width="10.7109375" style="2" bestFit="1" customWidth="1"/>
    <col min="11528" max="11528" width="10" style="2" customWidth="1"/>
    <col min="11529" max="11529" width="10.5703125" style="2" customWidth="1"/>
    <col min="11530" max="11531" width="7.7109375" style="2" customWidth="1"/>
    <col min="11532" max="11532" width="8.7109375" style="2" customWidth="1"/>
    <col min="11533" max="11534" width="7.7109375" style="2" customWidth="1"/>
    <col min="11535" max="11535" width="9.28515625" style="2" customWidth="1"/>
    <col min="11536" max="11536" width="13.5703125" style="2" customWidth="1"/>
    <col min="11537" max="11537" width="12.7109375" style="2" customWidth="1"/>
    <col min="11538" max="11542" width="0" style="2" hidden="1" customWidth="1"/>
    <col min="11543" max="11777" width="11.42578125" style="2"/>
    <col min="11778" max="11778" width="22.42578125" style="2" customWidth="1"/>
    <col min="11779" max="11779" width="39.42578125" style="2" customWidth="1"/>
    <col min="11780" max="11780" width="20.28515625" style="2" customWidth="1"/>
    <col min="11781" max="11781" width="11.7109375" style="2" customWidth="1"/>
    <col min="11782" max="11782" width="11.5703125" style="2" customWidth="1"/>
    <col min="11783" max="11783" width="10.7109375" style="2" bestFit="1" customWidth="1"/>
    <col min="11784" max="11784" width="10" style="2" customWidth="1"/>
    <col min="11785" max="11785" width="10.5703125" style="2" customWidth="1"/>
    <col min="11786" max="11787" width="7.7109375" style="2" customWidth="1"/>
    <col min="11788" max="11788" width="8.7109375" style="2" customWidth="1"/>
    <col min="11789" max="11790" width="7.7109375" style="2" customWidth="1"/>
    <col min="11791" max="11791" width="9.28515625" style="2" customWidth="1"/>
    <col min="11792" max="11792" width="13.5703125" style="2" customWidth="1"/>
    <col min="11793" max="11793" width="12.7109375" style="2" customWidth="1"/>
    <col min="11794" max="11798" width="0" style="2" hidden="1" customWidth="1"/>
    <col min="11799" max="12033" width="11.42578125" style="2"/>
    <col min="12034" max="12034" width="22.42578125" style="2" customWidth="1"/>
    <col min="12035" max="12035" width="39.42578125" style="2" customWidth="1"/>
    <col min="12036" max="12036" width="20.28515625" style="2" customWidth="1"/>
    <col min="12037" max="12037" width="11.7109375" style="2" customWidth="1"/>
    <col min="12038" max="12038" width="11.5703125" style="2" customWidth="1"/>
    <col min="12039" max="12039" width="10.7109375" style="2" bestFit="1" customWidth="1"/>
    <col min="12040" max="12040" width="10" style="2" customWidth="1"/>
    <col min="12041" max="12041" width="10.5703125" style="2" customWidth="1"/>
    <col min="12042" max="12043" width="7.7109375" style="2" customWidth="1"/>
    <col min="12044" max="12044" width="8.7109375" style="2" customWidth="1"/>
    <col min="12045" max="12046" width="7.7109375" style="2" customWidth="1"/>
    <col min="12047" max="12047" width="9.28515625" style="2" customWidth="1"/>
    <col min="12048" max="12048" width="13.5703125" style="2" customWidth="1"/>
    <col min="12049" max="12049" width="12.7109375" style="2" customWidth="1"/>
    <col min="12050" max="12054" width="0" style="2" hidden="1" customWidth="1"/>
    <col min="12055" max="12289" width="11.42578125" style="2"/>
    <col min="12290" max="12290" width="22.42578125" style="2" customWidth="1"/>
    <col min="12291" max="12291" width="39.42578125" style="2" customWidth="1"/>
    <col min="12292" max="12292" width="20.28515625" style="2" customWidth="1"/>
    <col min="12293" max="12293" width="11.7109375" style="2" customWidth="1"/>
    <col min="12294" max="12294" width="11.5703125" style="2" customWidth="1"/>
    <col min="12295" max="12295" width="10.7109375" style="2" bestFit="1" customWidth="1"/>
    <col min="12296" max="12296" width="10" style="2" customWidth="1"/>
    <col min="12297" max="12297" width="10.5703125" style="2" customWidth="1"/>
    <col min="12298" max="12299" width="7.7109375" style="2" customWidth="1"/>
    <col min="12300" max="12300" width="8.7109375" style="2" customWidth="1"/>
    <col min="12301" max="12302" width="7.7109375" style="2" customWidth="1"/>
    <col min="12303" max="12303" width="9.28515625" style="2" customWidth="1"/>
    <col min="12304" max="12304" width="13.5703125" style="2" customWidth="1"/>
    <col min="12305" max="12305" width="12.7109375" style="2" customWidth="1"/>
    <col min="12306" max="12310" width="0" style="2" hidden="1" customWidth="1"/>
    <col min="12311" max="12545" width="11.42578125" style="2"/>
    <col min="12546" max="12546" width="22.42578125" style="2" customWidth="1"/>
    <col min="12547" max="12547" width="39.42578125" style="2" customWidth="1"/>
    <col min="12548" max="12548" width="20.28515625" style="2" customWidth="1"/>
    <col min="12549" max="12549" width="11.7109375" style="2" customWidth="1"/>
    <col min="12550" max="12550" width="11.5703125" style="2" customWidth="1"/>
    <col min="12551" max="12551" width="10.7109375" style="2" bestFit="1" customWidth="1"/>
    <col min="12552" max="12552" width="10" style="2" customWidth="1"/>
    <col min="12553" max="12553" width="10.5703125" style="2" customWidth="1"/>
    <col min="12554" max="12555" width="7.7109375" style="2" customWidth="1"/>
    <col min="12556" max="12556" width="8.7109375" style="2" customWidth="1"/>
    <col min="12557" max="12558" width="7.7109375" style="2" customWidth="1"/>
    <col min="12559" max="12559" width="9.28515625" style="2" customWidth="1"/>
    <col min="12560" max="12560" width="13.5703125" style="2" customWidth="1"/>
    <col min="12561" max="12561" width="12.7109375" style="2" customWidth="1"/>
    <col min="12562" max="12566" width="0" style="2" hidden="1" customWidth="1"/>
    <col min="12567" max="12801" width="11.42578125" style="2"/>
    <col min="12802" max="12802" width="22.42578125" style="2" customWidth="1"/>
    <col min="12803" max="12803" width="39.42578125" style="2" customWidth="1"/>
    <col min="12804" max="12804" width="20.28515625" style="2" customWidth="1"/>
    <col min="12805" max="12805" width="11.7109375" style="2" customWidth="1"/>
    <col min="12806" max="12806" width="11.5703125" style="2" customWidth="1"/>
    <col min="12807" max="12807" width="10.7109375" style="2" bestFit="1" customWidth="1"/>
    <col min="12808" max="12808" width="10" style="2" customWidth="1"/>
    <col min="12809" max="12809" width="10.5703125" style="2" customWidth="1"/>
    <col min="12810" max="12811" width="7.7109375" style="2" customWidth="1"/>
    <col min="12812" max="12812" width="8.7109375" style="2" customWidth="1"/>
    <col min="12813" max="12814" width="7.7109375" style="2" customWidth="1"/>
    <col min="12815" max="12815" width="9.28515625" style="2" customWidth="1"/>
    <col min="12816" max="12816" width="13.5703125" style="2" customWidth="1"/>
    <col min="12817" max="12817" width="12.7109375" style="2" customWidth="1"/>
    <col min="12818" max="12822" width="0" style="2" hidden="1" customWidth="1"/>
    <col min="12823" max="13057" width="11.42578125" style="2"/>
    <col min="13058" max="13058" width="22.42578125" style="2" customWidth="1"/>
    <col min="13059" max="13059" width="39.42578125" style="2" customWidth="1"/>
    <col min="13060" max="13060" width="20.28515625" style="2" customWidth="1"/>
    <col min="13061" max="13061" width="11.7109375" style="2" customWidth="1"/>
    <col min="13062" max="13062" width="11.5703125" style="2" customWidth="1"/>
    <col min="13063" max="13063" width="10.7109375" style="2" bestFit="1" customWidth="1"/>
    <col min="13064" max="13064" width="10" style="2" customWidth="1"/>
    <col min="13065" max="13065" width="10.5703125" style="2" customWidth="1"/>
    <col min="13066" max="13067" width="7.7109375" style="2" customWidth="1"/>
    <col min="13068" max="13068" width="8.7109375" style="2" customWidth="1"/>
    <col min="13069" max="13070" width="7.7109375" style="2" customWidth="1"/>
    <col min="13071" max="13071" width="9.28515625" style="2" customWidth="1"/>
    <col min="13072" max="13072" width="13.5703125" style="2" customWidth="1"/>
    <col min="13073" max="13073" width="12.7109375" style="2" customWidth="1"/>
    <col min="13074" max="13078" width="0" style="2" hidden="1" customWidth="1"/>
    <col min="13079" max="13313" width="11.42578125" style="2"/>
    <col min="13314" max="13314" width="22.42578125" style="2" customWidth="1"/>
    <col min="13315" max="13315" width="39.42578125" style="2" customWidth="1"/>
    <col min="13316" max="13316" width="20.28515625" style="2" customWidth="1"/>
    <col min="13317" max="13317" width="11.7109375" style="2" customWidth="1"/>
    <col min="13318" max="13318" width="11.5703125" style="2" customWidth="1"/>
    <col min="13319" max="13319" width="10.7109375" style="2" bestFit="1" customWidth="1"/>
    <col min="13320" max="13320" width="10" style="2" customWidth="1"/>
    <col min="13321" max="13321" width="10.5703125" style="2" customWidth="1"/>
    <col min="13322" max="13323" width="7.7109375" style="2" customWidth="1"/>
    <col min="13324" max="13324" width="8.7109375" style="2" customWidth="1"/>
    <col min="13325" max="13326" width="7.7109375" style="2" customWidth="1"/>
    <col min="13327" max="13327" width="9.28515625" style="2" customWidth="1"/>
    <col min="13328" max="13328" width="13.5703125" style="2" customWidth="1"/>
    <col min="13329" max="13329" width="12.7109375" style="2" customWidth="1"/>
    <col min="13330" max="13334" width="0" style="2" hidden="1" customWidth="1"/>
    <col min="13335" max="13569" width="11.42578125" style="2"/>
    <col min="13570" max="13570" width="22.42578125" style="2" customWidth="1"/>
    <col min="13571" max="13571" width="39.42578125" style="2" customWidth="1"/>
    <col min="13572" max="13572" width="20.28515625" style="2" customWidth="1"/>
    <col min="13573" max="13573" width="11.7109375" style="2" customWidth="1"/>
    <col min="13574" max="13574" width="11.5703125" style="2" customWidth="1"/>
    <col min="13575" max="13575" width="10.7109375" style="2" bestFit="1" customWidth="1"/>
    <col min="13576" max="13576" width="10" style="2" customWidth="1"/>
    <col min="13577" max="13577" width="10.5703125" style="2" customWidth="1"/>
    <col min="13578" max="13579" width="7.7109375" style="2" customWidth="1"/>
    <col min="13580" max="13580" width="8.7109375" style="2" customWidth="1"/>
    <col min="13581" max="13582" width="7.7109375" style="2" customWidth="1"/>
    <col min="13583" max="13583" width="9.28515625" style="2" customWidth="1"/>
    <col min="13584" max="13584" width="13.5703125" style="2" customWidth="1"/>
    <col min="13585" max="13585" width="12.7109375" style="2" customWidth="1"/>
    <col min="13586" max="13590" width="0" style="2" hidden="1" customWidth="1"/>
    <col min="13591" max="13825" width="11.42578125" style="2"/>
    <col min="13826" max="13826" width="22.42578125" style="2" customWidth="1"/>
    <col min="13827" max="13827" width="39.42578125" style="2" customWidth="1"/>
    <col min="13828" max="13828" width="20.28515625" style="2" customWidth="1"/>
    <col min="13829" max="13829" width="11.7109375" style="2" customWidth="1"/>
    <col min="13830" max="13830" width="11.5703125" style="2" customWidth="1"/>
    <col min="13831" max="13831" width="10.7109375" style="2" bestFit="1" customWidth="1"/>
    <col min="13832" max="13832" width="10" style="2" customWidth="1"/>
    <col min="13833" max="13833" width="10.5703125" style="2" customWidth="1"/>
    <col min="13834" max="13835" width="7.7109375" style="2" customWidth="1"/>
    <col min="13836" max="13836" width="8.7109375" style="2" customWidth="1"/>
    <col min="13837" max="13838" width="7.7109375" style="2" customWidth="1"/>
    <col min="13839" max="13839" width="9.28515625" style="2" customWidth="1"/>
    <col min="13840" max="13840" width="13.5703125" style="2" customWidth="1"/>
    <col min="13841" max="13841" width="12.7109375" style="2" customWidth="1"/>
    <col min="13842" max="13846" width="0" style="2" hidden="1" customWidth="1"/>
    <col min="13847" max="14081" width="11.42578125" style="2"/>
    <col min="14082" max="14082" width="22.42578125" style="2" customWidth="1"/>
    <col min="14083" max="14083" width="39.42578125" style="2" customWidth="1"/>
    <col min="14084" max="14084" width="20.28515625" style="2" customWidth="1"/>
    <col min="14085" max="14085" width="11.7109375" style="2" customWidth="1"/>
    <col min="14086" max="14086" width="11.5703125" style="2" customWidth="1"/>
    <col min="14087" max="14087" width="10.7109375" style="2" bestFit="1" customWidth="1"/>
    <col min="14088" max="14088" width="10" style="2" customWidth="1"/>
    <col min="14089" max="14089" width="10.5703125" style="2" customWidth="1"/>
    <col min="14090" max="14091" width="7.7109375" style="2" customWidth="1"/>
    <col min="14092" max="14092" width="8.7109375" style="2" customWidth="1"/>
    <col min="14093" max="14094" width="7.7109375" style="2" customWidth="1"/>
    <col min="14095" max="14095" width="9.28515625" style="2" customWidth="1"/>
    <col min="14096" max="14096" width="13.5703125" style="2" customWidth="1"/>
    <col min="14097" max="14097" width="12.7109375" style="2" customWidth="1"/>
    <col min="14098" max="14102" width="0" style="2" hidden="1" customWidth="1"/>
    <col min="14103" max="14337" width="11.42578125" style="2"/>
    <col min="14338" max="14338" width="22.42578125" style="2" customWidth="1"/>
    <col min="14339" max="14339" width="39.42578125" style="2" customWidth="1"/>
    <col min="14340" max="14340" width="20.28515625" style="2" customWidth="1"/>
    <col min="14341" max="14341" width="11.7109375" style="2" customWidth="1"/>
    <col min="14342" max="14342" width="11.5703125" style="2" customWidth="1"/>
    <col min="14343" max="14343" width="10.7109375" style="2" bestFit="1" customWidth="1"/>
    <col min="14344" max="14344" width="10" style="2" customWidth="1"/>
    <col min="14345" max="14345" width="10.5703125" style="2" customWidth="1"/>
    <col min="14346" max="14347" width="7.7109375" style="2" customWidth="1"/>
    <col min="14348" max="14348" width="8.7109375" style="2" customWidth="1"/>
    <col min="14349" max="14350" width="7.7109375" style="2" customWidth="1"/>
    <col min="14351" max="14351" width="9.28515625" style="2" customWidth="1"/>
    <col min="14352" max="14352" width="13.5703125" style="2" customWidth="1"/>
    <col min="14353" max="14353" width="12.7109375" style="2" customWidth="1"/>
    <col min="14354" max="14358" width="0" style="2" hidden="1" customWidth="1"/>
    <col min="14359" max="14593" width="11.42578125" style="2"/>
    <col min="14594" max="14594" width="22.42578125" style="2" customWidth="1"/>
    <col min="14595" max="14595" width="39.42578125" style="2" customWidth="1"/>
    <col min="14596" max="14596" width="20.28515625" style="2" customWidth="1"/>
    <col min="14597" max="14597" width="11.7109375" style="2" customWidth="1"/>
    <col min="14598" max="14598" width="11.5703125" style="2" customWidth="1"/>
    <col min="14599" max="14599" width="10.7109375" style="2" bestFit="1" customWidth="1"/>
    <col min="14600" max="14600" width="10" style="2" customWidth="1"/>
    <col min="14601" max="14601" width="10.5703125" style="2" customWidth="1"/>
    <col min="14602" max="14603" width="7.7109375" style="2" customWidth="1"/>
    <col min="14604" max="14604" width="8.7109375" style="2" customWidth="1"/>
    <col min="14605" max="14606" width="7.7109375" style="2" customWidth="1"/>
    <col min="14607" max="14607" width="9.28515625" style="2" customWidth="1"/>
    <col min="14608" max="14608" width="13.5703125" style="2" customWidth="1"/>
    <col min="14609" max="14609" width="12.7109375" style="2" customWidth="1"/>
    <col min="14610" max="14614" width="0" style="2" hidden="1" customWidth="1"/>
    <col min="14615" max="14849" width="11.42578125" style="2"/>
    <col min="14850" max="14850" width="22.42578125" style="2" customWidth="1"/>
    <col min="14851" max="14851" width="39.42578125" style="2" customWidth="1"/>
    <col min="14852" max="14852" width="20.28515625" style="2" customWidth="1"/>
    <col min="14853" max="14853" width="11.7109375" style="2" customWidth="1"/>
    <col min="14854" max="14854" width="11.5703125" style="2" customWidth="1"/>
    <col min="14855" max="14855" width="10.7109375" style="2" bestFit="1" customWidth="1"/>
    <col min="14856" max="14856" width="10" style="2" customWidth="1"/>
    <col min="14857" max="14857" width="10.5703125" style="2" customWidth="1"/>
    <col min="14858" max="14859" width="7.7109375" style="2" customWidth="1"/>
    <col min="14860" max="14860" width="8.7109375" style="2" customWidth="1"/>
    <col min="14861" max="14862" width="7.7109375" style="2" customWidth="1"/>
    <col min="14863" max="14863" width="9.28515625" style="2" customWidth="1"/>
    <col min="14864" max="14864" width="13.5703125" style="2" customWidth="1"/>
    <col min="14865" max="14865" width="12.7109375" style="2" customWidth="1"/>
    <col min="14866" max="14870" width="0" style="2" hidden="1" customWidth="1"/>
    <col min="14871" max="15105" width="11.42578125" style="2"/>
    <col min="15106" max="15106" width="22.42578125" style="2" customWidth="1"/>
    <col min="15107" max="15107" width="39.42578125" style="2" customWidth="1"/>
    <col min="15108" max="15108" width="20.28515625" style="2" customWidth="1"/>
    <col min="15109" max="15109" width="11.7109375" style="2" customWidth="1"/>
    <col min="15110" max="15110" width="11.5703125" style="2" customWidth="1"/>
    <col min="15111" max="15111" width="10.7109375" style="2" bestFit="1" customWidth="1"/>
    <col min="15112" max="15112" width="10" style="2" customWidth="1"/>
    <col min="15113" max="15113" width="10.5703125" style="2" customWidth="1"/>
    <col min="15114" max="15115" width="7.7109375" style="2" customWidth="1"/>
    <col min="15116" max="15116" width="8.7109375" style="2" customWidth="1"/>
    <col min="15117" max="15118" width="7.7109375" style="2" customWidth="1"/>
    <col min="15119" max="15119" width="9.28515625" style="2" customWidth="1"/>
    <col min="15120" max="15120" width="13.5703125" style="2" customWidth="1"/>
    <col min="15121" max="15121" width="12.7109375" style="2" customWidth="1"/>
    <col min="15122" max="15126" width="0" style="2" hidden="1" customWidth="1"/>
    <col min="15127" max="15361" width="11.42578125" style="2"/>
    <col min="15362" max="15362" width="22.42578125" style="2" customWidth="1"/>
    <col min="15363" max="15363" width="39.42578125" style="2" customWidth="1"/>
    <col min="15364" max="15364" width="20.28515625" style="2" customWidth="1"/>
    <col min="15365" max="15365" width="11.7109375" style="2" customWidth="1"/>
    <col min="15366" max="15366" width="11.5703125" style="2" customWidth="1"/>
    <col min="15367" max="15367" width="10.7109375" style="2" bestFit="1" customWidth="1"/>
    <col min="15368" max="15368" width="10" style="2" customWidth="1"/>
    <col min="15369" max="15369" width="10.5703125" style="2" customWidth="1"/>
    <col min="15370" max="15371" width="7.7109375" style="2" customWidth="1"/>
    <col min="15372" max="15372" width="8.7109375" style="2" customWidth="1"/>
    <col min="15373" max="15374" width="7.7109375" style="2" customWidth="1"/>
    <col min="15375" max="15375" width="9.28515625" style="2" customWidth="1"/>
    <col min="15376" max="15376" width="13.5703125" style="2" customWidth="1"/>
    <col min="15377" max="15377" width="12.7109375" style="2" customWidth="1"/>
    <col min="15378" max="15382" width="0" style="2" hidden="1" customWidth="1"/>
    <col min="15383" max="15617" width="11.42578125" style="2"/>
    <col min="15618" max="15618" width="22.42578125" style="2" customWidth="1"/>
    <col min="15619" max="15619" width="39.42578125" style="2" customWidth="1"/>
    <col min="15620" max="15620" width="20.28515625" style="2" customWidth="1"/>
    <col min="15621" max="15621" width="11.7109375" style="2" customWidth="1"/>
    <col min="15622" max="15622" width="11.5703125" style="2" customWidth="1"/>
    <col min="15623" max="15623" width="10.7109375" style="2" bestFit="1" customWidth="1"/>
    <col min="15624" max="15624" width="10" style="2" customWidth="1"/>
    <col min="15625" max="15625" width="10.5703125" style="2" customWidth="1"/>
    <col min="15626" max="15627" width="7.7109375" style="2" customWidth="1"/>
    <col min="15628" max="15628" width="8.7109375" style="2" customWidth="1"/>
    <col min="15629" max="15630" width="7.7109375" style="2" customWidth="1"/>
    <col min="15631" max="15631" width="9.28515625" style="2" customWidth="1"/>
    <col min="15632" max="15632" width="13.5703125" style="2" customWidth="1"/>
    <col min="15633" max="15633" width="12.7109375" style="2" customWidth="1"/>
    <col min="15634" max="15638" width="0" style="2" hidden="1" customWidth="1"/>
    <col min="15639" max="15873" width="11.42578125" style="2"/>
    <col min="15874" max="15874" width="22.42578125" style="2" customWidth="1"/>
    <col min="15875" max="15875" width="39.42578125" style="2" customWidth="1"/>
    <col min="15876" max="15876" width="20.28515625" style="2" customWidth="1"/>
    <col min="15877" max="15877" width="11.7109375" style="2" customWidth="1"/>
    <col min="15878" max="15878" width="11.5703125" style="2" customWidth="1"/>
    <col min="15879" max="15879" width="10.7109375" style="2" bestFit="1" customWidth="1"/>
    <col min="15880" max="15880" width="10" style="2" customWidth="1"/>
    <col min="15881" max="15881" width="10.5703125" style="2" customWidth="1"/>
    <col min="15882" max="15883" width="7.7109375" style="2" customWidth="1"/>
    <col min="15884" max="15884" width="8.7109375" style="2" customWidth="1"/>
    <col min="15885" max="15886" width="7.7109375" style="2" customWidth="1"/>
    <col min="15887" max="15887" width="9.28515625" style="2" customWidth="1"/>
    <col min="15888" max="15888" width="13.5703125" style="2" customWidth="1"/>
    <col min="15889" max="15889" width="12.7109375" style="2" customWidth="1"/>
    <col min="15890" max="15894" width="0" style="2" hidden="1" customWidth="1"/>
    <col min="15895" max="16129" width="11.42578125" style="2"/>
    <col min="16130" max="16130" width="22.42578125" style="2" customWidth="1"/>
    <col min="16131" max="16131" width="39.42578125" style="2" customWidth="1"/>
    <col min="16132" max="16132" width="20.28515625" style="2" customWidth="1"/>
    <col min="16133" max="16133" width="11.7109375" style="2" customWidth="1"/>
    <col min="16134" max="16134" width="11.5703125" style="2" customWidth="1"/>
    <col min="16135" max="16135" width="10.7109375" style="2" bestFit="1" customWidth="1"/>
    <col min="16136" max="16136" width="10" style="2" customWidth="1"/>
    <col min="16137" max="16137" width="10.5703125" style="2" customWidth="1"/>
    <col min="16138" max="16139" width="7.7109375" style="2" customWidth="1"/>
    <col min="16140" max="16140" width="8.7109375" style="2" customWidth="1"/>
    <col min="16141" max="16142" width="7.7109375" style="2" customWidth="1"/>
    <col min="16143" max="16143" width="9.28515625" style="2" customWidth="1"/>
    <col min="16144" max="16144" width="13.5703125" style="2" customWidth="1"/>
    <col min="16145" max="16145" width="12.7109375" style="2" customWidth="1"/>
    <col min="16146" max="16150" width="0" style="2" hidden="1" customWidth="1"/>
    <col min="16151" max="16384" width="11.42578125" style="2"/>
  </cols>
  <sheetData>
    <row r="2" spans="1:23" ht="14.25" customHeight="1" x14ac:dyDescent="0.2">
      <c r="A2" s="1759" t="s">
        <v>0</v>
      </c>
      <c r="B2" s="1761" t="s">
        <v>344</v>
      </c>
      <c r="C2" s="1761" t="s">
        <v>345</v>
      </c>
      <c r="D2" s="1"/>
      <c r="E2" s="1764" t="s">
        <v>1</v>
      </c>
      <c r="F2" s="1764"/>
      <c r="G2" s="1764"/>
      <c r="H2" s="1764"/>
      <c r="I2" s="1764"/>
      <c r="J2" s="1764"/>
      <c r="K2" s="1764"/>
      <c r="L2" s="1764"/>
      <c r="M2" s="1764"/>
      <c r="N2" s="1764"/>
      <c r="O2" s="1764"/>
      <c r="P2" s="1764"/>
      <c r="Q2" s="1831" t="s">
        <v>1191</v>
      </c>
      <c r="R2" s="1834" t="s">
        <v>2</v>
      </c>
      <c r="S2" s="1834" t="s">
        <v>3</v>
      </c>
      <c r="T2" s="1837"/>
      <c r="U2" s="1831" t="s">
        <v>4</v>
      </c>
      <c r="V2" s="1831" t="s">
        <v>1190</v>
      </c>
    </row>
    <row r="3" spans="1:23" ht="19.5" customHeight="1" x14ac:dyDescent="0.2">
      <c r="A3" s="1760"/>
      <c r="B3" s="1762"/>
      <c r="C3" s="1762"/>
      <c r="D3" s="3"/>
      <c r="E3" s="1764" t="s">
        <v>981</v>
      </c>
      <c r="F3" s="1764"/>
      <c r="G3" s="1764"/>
      <c r="H3" s="1764"/>
      <c r="I3" s="1764"/>
      <c r="J3" s="1764"/>
      <c r="K3" s="1764"/>
      <c r="L3" s="1764"/>
      <c r="M3" s="1764"/>
      <c r="N3" s="1764"/>
      <c r="O3" s="1764"/>
      <c r="P3" s="1764"/>
      <c r="Q3" s="1832"/>
      <c r="R3" s="1835"/>
      <c r="S3" s="1835"/>
      <c r="T3" s="1838"/>
      <c r="U3" s="1832"/>
      <c r="V3" s="1832"/>
    </row>
    <row r="4" spans="1:23" ht="19.5" customHeight="1" x14ac:dyDescent="0.2">
      <c r="A4" s="1760"/>
      <c r="B4" s="1763"/>
      <c r="C4" s="1763"/>
      <c r="D4" s="4" t="s">
        <v>5</v>
      </c>
      <c r="E4" s="1764" t="s">
        <v>6</v>
      </c>
      <c r="F4" s="1764"/>
      <c r="G4" s="1764"/>
      <c r="H4" s="1764"/>
      <c r="I4" s="1764"/>
      <c r="J4" s="1764"/>
      <c r="K4" s="1764" t="s">
        <v>7</v>
      </c>
      <c r="L4" s="1764"/>
      <c r="M4" s="1764"/>
      <c r="N4" s="1764"/>
      <c r="O4" s="1764"/>
      <c r="P4" s="1764"/>
      <c r="Q4" s="1832" t="s">
        <v>8</v>
      </c>
      <c r="R4" s="1835"/>
      <c r="S4" s="1835"/>
      <c r="T4" s="1838"/>
      <c r="U4" s="1832"/>
      <c r="V4" s="1832"/>
    </row>
    <row r="5" spans="1:23" ht="21.75" customHeight="1" x14ac:dyDescent="0.2">
      <c r="A5" s="1760"/>
      <c r="B5" s="1763"/>
      <c r="C5" s="1763"/>
      <c r="D5" s="5"/>
      <c r="E5" s="1764" t="s">
        <v>9</v>
      </c>
      <c r="F5" s="1764"/>
      <c r="G5" s="1764"/>
      <c r="H5" s="1764" t="s">
        <v>10</v>
      </c>
      <c r="I5" s="1764"/>
      <c r="J5" s="1764"/>
      <c r="K5" s="1764" t="s">
        <v>11</v>
      </c>
      <c r="L5" s="1764"/>
      <c r="M5" s="1764"/>
      <c r="N5" s="1764" t="s">
        <v>12</v>
      </c>
      <c r="O5" s="1764"/>
      <c r="P5" s="1764"/>
      <c r="Q5" s="1832"/>
      <c r="R5" s="1835"/>
      <c r="S5" s="1835"/>
      <c r="T5" s="1838"/>
      <c r="U5" s="1832"/>
      <c r="V5" s="1832"/>
    </row>
    <row r="6" spans="1:23" ht="36.75" customHeight="1" x14ac:dyDescent="0.2">
      <c r="A6" s="1760"/>
      <c r="B6" s="1763"/>
      <c r="C6" s="1763"/>
      <c r="D6" s="5"/>
      <c r="E6" s="605" t="s">
        <v>13</v>
      </c>
      <c r="F6" s="605" t="s">
        <v>14</v>
      </c>
      <c r="G6" s="605" t="s">
        <v>15</v>
      </c>
      <c r="H6" s="605" t="s">
        <v>16</v>
      </c>
      <c r="I6" s="605" t="s">
        <v>17</v>
      </c>
      <c r="J6" s="605" t="s">
        <v>18</v>
      </c>
      <c r="K6" s="605" t="s">
        <v>19</v>
      </c>
      <c r="L6" s="605" t="s">
        <v>20</v>
      </c>
      <c r="M6" s="605" t="s">
        <v>21</v>
      </c>
      <c r="N6" s="605" t="s">
        <v>22</v>
      </c>
      <c r="O6" s="605" t="s">
        <v>23</v>
      </c>
      <c r="P6" s="605" t="s">
        <v>24</v>
      </c>
      <c r="Q6" s="1832"/>
      <c r="R6" s="1836"/>
      <c r="S6" s="1836"/>
      <c r="T6" s="1839"/>
      <c r="U6" s="1833"/>
      <c r="V6" s="1833"/>
    </row>
    <row r="7" spans="1:23" ht="66.75" hidden="1" customHeight="1" x14ac:dyDescent="0.2">
      <c r="A7" s="1768" t="s">
        <v>25</v>
      </c>
      <c r="B7" s="826" t="s">
        <v>346</v>
      </c>
      <c r="C7" s="366" t="s">
        <v>347</v>
      </c>
      <c r="D7" s="672">
        <v>0.8</v>
      </c>
      <c r="E7" s="1769"/>
      <c r="F7" s="1769"/>
      <c r="G7" s="1769"/>
      <c r="H7" s="1769"/>
      <c r="I7" s="1769"/>
      <c r="J7" s="1769"/>
      <c r="K7" s="1770"/>
      <c r="L7" s="1770"/>
      <c r="M7" s="1770"/>
      <c r="N7" s="1770"/>
      <c r="O7" s="1770"/>
      <c r="P7" s="1770"/>
      <c r="Q7" s="12" t="e">
        <f>AVERAGE(E7:P7)</f>
        <v>#DIV/0!</v>
      </c>
      <c r="R7" s="7" t="s">
        <v>27</v>
      </c>
      <c r="S7" s="10" t="s">
        <v>28</v>
      </c>
      <c r="T7" s="9"/>
      <c r="U7" s="67">
        <v>1</v>
      </c>
      <c r="V7" s="67"/>
    </row>
    <row r="8" spans="1:23" ht="102.75" customHeight="1" x14ac:dyDescent="0.2">
      <c r="A8" s="1768"/>
      <c r="B8" s="703" t="s">
        <v>853</v>
      </c>
      <c r="C8" s="366" t="s">
        <v>348</v>
      </c>
      <c r="D8" s="780">
        <v>0.98</v>
      </c>
      <c r="E8" s="1747">
        <f>1476/1481</f>
        <v>0.99662390276839974</v>
      </c>
      <c r="F8" s="1747"/>
      <c r="G8" s="1747"/>
      <c r="H8" s="1747"/>
      <c r="I8" s="1747"/>
      <c r="J8" s="1747"/>
      <c r="K8" s="1765">
        <f>1064/1072</f>
        <v>0.9925373134328358</v>
      </c>
      <c r="L8" s="1765"/>
      <c r="M8" s="1765"/>
      <c r="N8" s="1765"/>
      <c r="O8" s="1765"/>
      <c r="P8" s="1765"/>
      <c r="Q8" s="6">
        <f>IF(AND((E8=0),(K8=0)),"ND",AVERAGE(E8:P8))</f>
        <v>0.99458060810061777</v>
      </c>
      <c r="R8" s="7" t="s">
        <v>27</v>
      </c>
      <c r="S8" s="8" t="s">
        <v>29</v>
      </c>
      <c r="T8" s="9"/>
      <c r="U8" s="67">
        <v>1</v>
      </c>
      <c r="V8" s="67">
        <v>1</v>
      </c>
    </row>
    <row r="9" spans="1:23" ht="73.5" customHeight="1" x14ac:dyDescent="0.2">
      <c r="A9" s="1768"/>
      <c r="B9" s="702" t="s">
        <v>854</v>
      </c>
      <c r="C9" s="366" t="s">
        <v>349</v>
      </c>
      <c r="D9" s="780">
        <v>0.9</v>
      </c>
      <c r="E9" s="1747">
        <f>241/248</f>
        <v>0.97177419354838712</v>
      </c>
      <c r="F9" s="1747"/>
      <c r="G9" s="1747"/>
      <c r="H9" s="1747"/>
      <c r="I9" s="1747"/>
      <c r="J9" s="1747"/>
      <c r="K9" s="1765">
        <f>252/258</f>
        <v>0.97674418604651159</v>
      </c>
      <c r="L9" s="1765"/>
      <c r="M9" s="1765"/>
      <c r="N9" s="1765"/>
      <c r="O9" s="1765"/>
      <c r="P9" s="1765"/>
      <c r="Q9" s="6">
        <f t="shared" ref="Q9:Q17" si="0">IF(AND((E9=0),(K9=0)),"ND",AVERAGE(E9:P9))</f>
        <v>0.9742591897974493</v>
      </c>
      <c r="R9" s="7" t="s">
        <v>27</v>
      </c>
      <c r="S9" s="10" t="s">
        <v>6</v>
      </c>
      <c r="T9" s="9"/>
      <c r="U9" s="67">
        <v>1</v>
      </c>
      <c r="V9" s="67">
        <v>1</v>
      </c>
    </row>
    <row r="10" spans="1:23" ht="110.25" customHeight="1" x14ac:dyDescent="0.2">
      <c r="A10" s="1768"/>
      <c r="B10" s="703" t="s">
        <v>852</v>
      </c>
      <c r="C10" s="366" t="s">
        <v>350</v>
      </c>
      <c r="D10" s="780">
        <v>0.98</v>
      </c>
      <c r="E10" s="1747">
        <f>1475/1481</f>
        <v>0.99594868332207964</v>
      </c>
      <c r="F10" s="1747"/>
      <c r="G10" s="1747"/>
      <c r="H10" s="1747"/>
      <c r="I10" s="1747"/>
      <c r="J10" s="1747"/>
      <c r="K10" s="1765">
        <f>1066/1072</f>
        <v>0.99440298507462688</v>
      </c>
      <c r="L10" s="1765"/>
      <c r="M10" s="1765"/>
      <c r="N10" s="1765"/>
      <c r="O10" s="1765"/>
      <c r="P10" s="1765"/>
      <c r="Q10" s="6">
        <f t="shared" si="0"/>
        <v>0.9951758341983532</v>
      </c>
      <c r="R10" s="7"/>
      <c r="S10" s="10"/>
      <c r="T10" s="9"/>
      <c r="U10" s="67">
        <v>1</v>
      </c>
      <c r="V10" s="67">
        <v>1</v>
      </c>
    </row>
    <row r="11" spans="1:23" ht="60" hidden="1" customHeight="1" x14ac:dyDescent="0.2">
      <c r="A11" s="1771" t="s">
        <v>34</v>
      </c>
      <c r="B11" s="704" t="s">
        <v>351</v>
      </c>
      <c r="C11" s="270"/>
      <c r="D11" s="708">
        <v>0.7</v>
      </c>
      <c r="E11" s="1774"/>
      <c r="F11" s="1774"/>
      <c r="G11" s="1774"/>
      <c r="H11" s="1774"/>
      <c r="I11" s="1774"/>
      <c r="J11" s="1774"/>
      <c r="K11" s="1774"/>
      <c r="L11" s="1774"/>
      <c r="M11" s="1774"/>
      <c r="N11" s="1774"/>
      <c r="O11" s="1774"/>
      <c r="P11" s="1774"/>
      <c r="Q11" s="6" t="str">
        <f t="shared" si="0"/>
        <v>ND</v>
      </c>
      <c r="R11" s="7" t="s">
        <v>27</v>
      </c>
      <c r="S11" s="8" t="s">
        <v>13</v>
      </c>
      <c r="T11" s="9"/>
      <c r="U11" s="67">
        <v>1</v>
      </c>
      <c r="V11" s="67">
        <v>1</v>
      </c>
    </row>
    <row r="12" spans="1:23" ht="60" hidden="1" customHeight="1" x14ac:dyDescent="0.2">
      <c r="A12" s="1772"/>
      <c r="B12" s="705" t="s">
        <v>352</v>
      </c>
      <c r="C12" s="201"/>
      <c r="D12" s="709">
        <v>0.1</v>
      </c>
      <c r="E12" s="1725"/>
      <c r="F12" s="1725"/>
      <c r="G12" s="1725"/>
      <c r="H12" s="1725"/>
      <c r="I12" s="1725"/>
      <c r="J12" s="1725"/>
      <c r="K12" s="1725"/>
      <c r="L12" s="1725"/>
      <c r="M12" s="1725"/>
      <c r="N12" s="1725"/>
      <c r="O12" s="1725"/>
      <c r="P12" s="1725"/>
      <c r="Q12" s="6" t="str">
        <f t="shared" si="0"/>
        <v>ND</v>
      </c>
      <c r="R12" s="7"/>
      <c r="S12" s="8"/>
      <c r="T12" s="9"/>
      <c r="U12" s="67"/>
      <c r="V12" s="67"/>
    </row>
    <row r="13" spans="1:23" ht="60" hidden="1" customHeight="1" x14ac:dyDescent="0.2">
      <c r="A13" s="1772"/>
      <c r="B13" s="705" t="s">
        <v>353</v>
      </c>
      <c r="C13" s="201"/>
      <c r="D13" s="709">
        <v>0.2</v>
      </c>
      <c r="E13" s="1725"/>
      <c r="F13" s="1725"/>
      <c r="G13" s="1725"/>
      <c r="H13" s="1725"/>
      <c r="I13" s="1725"/>
      <c r="J13" s="1725"/>
      <c r="K13" s="1725"/>
      <c r="L13" s="1725"/>
      <c r="M13" s="1725"/>
      <c r="N13" s="1725"/>
      <c r="O13" s="1725"/>
      <c r="P13" s="1725"/>
      <c r="Q13" s="6" t="str">
        <f t="shared" si="0"/>
        <v>ND</v>
      </c>
      <c r="R13" s="7"/>
      <c r="S13" s="8"/>
      <c r="T13" s="9"/>
      <c r="U13" s="67"/>
      <c r="V13" s="67"/>
    </row>
    <row r="14" spans="1:23" ht="81.75" customHeight="1" x14ac:dyDescent="0.2">
      <c r="A14" s="1772"/>
      <c r="B14" s="706" t="s">
        <v>855</v>
      </c>
      <c r="C14" s="201" t="s">
        <v>354</v>
      </c>
      <c r="D14" s="710">
        <v>0.8</v>
      </c>
      <c r="E14" s="1765">
        <f>438/515</f>
        <v>0.85048543689320388</v>
      </c>
      <c r="F14" s="1765"/>
      <c r="G14" s="1765"/>
      <c r="H14" s="1765"/>
      <c r="I14" s="1765"/>
      <c r="J14" s="1765"/>
      <c r="K14" s="1765">
        <f>345/423</f>
        <v>0.81560283687943258</v>
      </c>
      <c r="L14" s="1765"/>
      <c r="M14" s="1765"/>
      <c r="N14" s="1765"/>
      <c r="O14" s="1765"/>
      <c r="P14" s="1765"/>
      <c r="Q14" s="6">
        <f t="shared" si="0"/>
        <v>0.83304413688631818</v>
      </c>
      <c r="R14" s="7"/>
      <c r="S14" s="8"/>
      <c r="T14" s="9"/>
      <c r="U14" s="67"/>
      <c r="V14" s="67">
        <v>1</v>
      </c>
    </row>
    <row r="15" spans="1:23" ht="84.75" customHeight="1" thickBot="1" x14ac:dyDescent="0.25">
      <c r="A15" s="1773"/>
      <c r="B15" s="179" t="s">
        <v>982</v>
      </c>
      <c r="C15" s="179" t="s">
        <v>355</v>
      </c>
      <c r="D15" s="187">
        <v>0.8</v>
      </c>
      <c r="E15" s="1765">
        <f>252/258</f>
        <v>0.97674418604651159</v>
      </c>
      <c r="F15" s="1765"/>
      <c r="G15" s="1765"/>
      <c r="H15" s="1765"/>
      <c r="I15" s="1765"/>
      <c r="J15" s="1765"/>
      <c r="K15" s="1765">
        <f>259/260</f>
        <v>0.99615384615384617</v>
      </c>
      <c r="L15" s="1765"/>
      <c r="M15" s="1765"/>
      <c r="N15" s="1765"/>
      <c r="O15" s="1765"/>
      <c r="P15" s="1765"/>
      <c r="Q15" s="6">
        <f t="shared" si="0"/>
        <v>0.98644901610017888</v>
      </c>
      <c r="R15" s="7"/>
      <c r="S15" s="8"/>
      <c r="T15" s="9"/>
      <c r="U15" s="67"/>
      <c r="V15" s="67">
        <v>1</v>
      </c>
    </row>
    <row r="16" spans="1:23" ht="112.5" customHeight="1" x14ac:dyDescent="0.2">
      <c r="A16" s="1766" t="s">
        <v>35</v>
      </c>
      <c r="B16" s="704" t="s">
        <v>983</v>
      </c>
      <c r="C16" s="270" t="s">
        <v>601</v>
      </c>
      <c r="D16" s="466">
        <v>0.8</v>
      </c>
      <c r="E16" s="1765">
        <f>124/124</f>
        <v>1</v>
      </c>
      <c r="F16" s="1765"/>
      <c r="G16" s="1765"/>
      <c r="H16" s="1765"/>
      <c r="I16" s="1765"/>
      <c r="J16" s="1765"/>
      <c r="K16" s="1765">
        <f>132/132</f>
        <v>1</v>
      </c>
      <c r="L16" s="1765"/>
      <c r="M16" s="1765"/>
      <c r="N16" s="1765"/>
      <c r="O16" s="1765"/>
      <c r="P16" s="1765"/>
      <c r="Q16" s="6">
        <f t="shared" si="0"/>
        <v>1</v>
      </c>
      <c r="R16" s="7" t="s">
        <v>27</v>
      </c>
      <c r="S16" s="8"/>
      <c r="T16" s="9"/>
      <c r="U16" s="67">
        <v>1</v>
      </c>
      <c r="V16" s="67">
        <v>1</v>
      </c>
      <c r="W16" s="781">
        <v>1</v>
      </c>
    </row>
    <row r="17" spans="1:24" ht="96.75" customHeight="1" x14ac:dyDescent="0.2">
      <c r="A17" s="1767"/>
      <c r="B17" s="706" t="s">
        <v>1025</v>
      </c>
      <c r="C17" s="201" t="s">
        <v>357</v>
      </c>
      <c r="D17" s="672">
        <v>0.9</v>
      </c>
      <c r="E17" s="478">
        <f>348/348</f>
        <v>1</v>
      </c>
      <c r="F17" s="478">
        <f>329/329</f>
        <v>1</v>
      </c>
      <c r="G17" s="478">
        <f>364/364</f>
        <v>1</v>
      </c>
      <c r="H17" s="478">
        <f>318/318</f>
        <v>1</v>
      </c>
      <c r="I17" s="478">
        <f>415/415</f>
        <v>1</v>
      </c>
      <c r="J17" s="478">
        <f>396/396</f>
        <v>1</v>
      </c>
      <c r="K17" s="478">
        <f>325/325</f>
        <v>1</v>
      </c>
      <c r="L17" s="478">
        <f>228/228</f>
        <v>1</v>
      </c>
      <c r="M17" s="478">
        <f>347/347</f>
        <v>1</v>
      </c>
      <c r="N17" s="478">
        <f>308/308</f>
        <v>1</v>
      </c>
      <c r="O17" s="478">
        <f>349/349</f>
        <v>1</v>
      </c>
      <c r="P17" s="478">
        <f>315/315</f>
        <v>1</v>
      </c>
      <c r="Q17" s="6">
        <f t="shared" si="0"/>
        <v>1</v>
      </c>
      <c r="R17" s="22" t="s">
        <v>27</v>
      </c>
      <c r="S17" s="14"/>
      <c r="T17" s="9"/>
      <c r="U17" s="67">
        <v>1</v>
      </c>
      <c r="V17" s="67">
        <v>1</v>
      </c>
      <c r="W17" s="781">
        <v>1</v>
      </c>
    </row>
    <row r="18" spans="1:24" ht="21.75" customHeight="1" thickBot="1" x14ac:dyDescent="0.25">
      <c r="A18" s="832"/>
      <c r="B18" s="1812" t="s">
        <v>53</v>
      </c>
      <c r="C18" s="1812"/>
      <c r="D18" s="1812"/>
      <c r="E18" s="1813">
        <f>AVERAGE(E17:J17)</f>
        <v>1</v>
      </c>
      <c r="F18" s="1813"/>
      <c r="G18" s="1813"/>
      <c r="H18" s="1813"/>
      <c r="I18" s="1813"/>
      <c r="J18" s="1813"/>
      <c r="K18" s="1813">
        <f>AVERAGE(K17:P17)</f>
        <v>1</v>
      </c>
      <c r="L18" s="1813"/>
      <c r="M18" s="1813"/>
      <c r="N18" s="1813"/>
      <c r="O18" s="1813"/>
      <c r="P18" s="1813"/>
      <c r="Q18" s="196"/>
      <c r="R18" s="22"/>
      <c r="S18" s="14"/>
      <c r="T18" s="9"/>
      <c r="U18" s="67"/>
      <c r="V18" s="67"/>
    </row>
    <row r="19" spans="1:24" ht="53.25" hidden="1" customHeight="1" x14ac:dyDescent="0.2">
      <c r="A19" s="1745" t="s">
        <v>36</v>
      </c>
      <c r="B19" s="833" t="s">
        <v>37</v>
      </c>
      <c r="C19" s="834" t="s">
        <v>358</v>
      </c>
      <c r="D19" s="835" t="s">
        <v>38</v>
      </c>
      <c r="E19" s="1747"/>
      <c r="F19" s="1747"/>
      <c r="G19" s="1747"/>
      <c r="H19" s="1747"/>
      <c r="I19" s="1747"/>
      <c r="J19" s="1747"/>
      <c r="K19" s="1747"/>
      <c r="L19" s="1747"/>
      <c r="M19" s="1747"/>
      <c r="N19" s="1747"/>
      <c r="O19" s="1747"/>
      <c r="P19" s="1747"/>
      <c r="Q19" s="195" t="e">
        <f>AVERAGE(E19:P19)</f>
        <v>#DIV/0!</v>
      </c>
      <c r="R19" s="16" t="s">
        <v>27</v>
      </c>
      <c r="S19" s="15"/>
      <c r="T19" s="193"/>
      <c r="U19" s="67">
        <v>1</v>
      </c>
      <c r="V19" s="67"/>
    </row>
    <row r="20" spans="1:24" ht="87" customHeight="1" x14ac:dyDescent="0.2">
      <c r="A20" s="1745"/>
      <c r="B20" s="1359" t="s">
        <v>1234</v>
      </c>
      <c r="C20" s="366" t="s">
        <v>1233</v>
      </c>
      <c r="D20" s="1029" t="s">
        <v>626</v>
      </c>
      <c r="E20" s="1747">
        <v>2.5700000000000001E-2</v>
      </c>
      <c r="F20" s="1747"/>
      <c r="G20" s="1747"/>
      <c r="H20" s="1747"/>
      <c r="I20" s="1747"/>
      <c r="J20" s="1747"/>
      <c r="K20" s="1747"/>
      <c r="L20" s="1747"/>
      <c r="M20" s="1747"/>
      <c r="N20" s="1747"/>
      <c r="O20" s="1747"/>
      <c r="P20" s="1747"/>
      <c r="Q20" s="6">
        <f t="shared" ref="Q20:Q68" si="1">IF(AND((E20=0),(K20=0)),"ND",AVERAGE(E20:P20))</f>
        <v>2.5700000000000001E-2</v>
      </c>
      <c r="R20" s="6" t="str">
        <f t="shared" ref="R20:S20" si="2">IF(AND((F20=0),(L20=0)),"ND",AVERAGE(F20:Q20))</f>
        <v>ND</v>
      </c>
      <c r="S20" s="6" t="str">
        <f t="shared" si="2"/>
        <v>ND</v>
      </c>
      <c r="T20" s="193"/>
      <c r="U20" s="67">
        <v>1</v>
      </c>
      <c r="V20" s="67">
        <v>1</v>
      </c>
      <c r="W20" s="781">
        <v>1</v>
      </c>
    </row>
    <row r="21" spans="1:24" ht="57" customHeight="1" x14ac:dyDescent="0.2">
      <c r="A21" s="1745"/>
      <c r="B21" s="1358" t="s">
        <v>857</v>
      </c>
      <c r="C21" s="366" t="s">
        <v>616</v>
      </c>
      <c r="D21" s="836">
        <v>10</v>
      </c>
      <c r="E21" s="1747">
        <v>0.1205</v>
      </c>
      <c r="F21" s="1747"/>
      <c r="G21" s="1747"/>
      <c r="H21" s="1747"/>
      <c r="I21" s="1747"/>
      <c r="J21" s="1747"/>
      <c r="K21" s="1747"/>
      <c r="L21" s="1747"/>
      <c r="M21" s="1747"/>
      <c r="N21" s="1747"/>
      <c r="O21" s="1747"/>
      <c r="P21" s="1747"/>
      <c r="Q21" s="6">
        <f t="shared" si="1"/>
        <v>0.1205</v>
      </c>
      <c r="R21" s="6" t="str">
        <f t="shared" ref="R21:S21" si="3">IF(AND((F21=0),(L21=0)),"ND",AVERAGE(F21:Q21))</f>
        <v>ND</v>
      </c>
      <c r="S21" s="6" t="str">
        <f t="shared" si="3"/>
        <v>ND</v>
      </c>
      <c r="T21" s="193"/>
      <c r="U21" s="67">
        <v>1</v>
      </c>
      <c r="V21" s="67">
        <v>1</v>
      </c>
      <c r="W21" s="781">
        <v>1</v>
      </c>
    </row>
    <row r="22" spans="1:24" ht="41.25" customHeight="1" x14ac:dyDescent="0.2">
      <c r="A22" s="1745"/>
      <c r="B22" s="1814" t="s">
        <v>858</v>
      </c>
      <c r="C22" s="1815" t="s">
        <v>420</v>
      </c>
      <c r="D22" s="837">
        <v>0.01</v>
      </c>
      <c r="E22" s="1747">
        <f>27/39233</f>
        <v>6.8819616139474422E-4</v>
      </c>
      <c r="F22" s="1747"/>
      <c r="G22" s="1747"/>
      <c r="H22" s="1747"/>
      <c r="I22" s="1747"/>
      <c r="J22" s="1747"/>
      <c r="K22" s="1747"/>
      <c r="L22" s="1747"/>
      <c r="M22" s="1747"/>
      <c r="N22" s="1747"/>
      <c r="O22" s="1747"/>
      <c r="P22" s="1747"/>
      <c r="Q22" s="6">
        <f t="shared" si="1"/>
        <v>6.8819616139474422E-4</v>
      </c>
      <c r="R22" s="6" t="str">
        <f t="shared" ref="R22:S22" si="4">IF(AND((F22=0),(L22=0)),"ND",AVERAGE(F22:Q22))</f>
        <v>ND</v>
      </c>
      <c r="S22" s="6" t="str">
        <f t="shared" si="4"/>
        <v>ND</v>
      </c>
      <c r="T22" s="193"/>
      <c r="U22" s="67">
        <v>1</v>
      </c>
      <c r="V22" s="67">
        <v>1</v>
      </c>
      <c r="W22" s="781">
        <v>1</v>
      </c>
    </row>
    <row r="23" spans="1:24" ht="30" hidden="1" customHeight="1" x14ac:dyDescent="0.2">
      <c r="A23" s="1745"/>
      <c r="B23" s="1814"/>
      <c r="C23" s="1815"/>
      <c r="D23" s="838" t="s">
        <v>39</v>
      </c>
      <c r="E23" s="1830"/>
      <c r="F23" s="1830"/>
      <c r="G23" s="1830"/>
      <c r="H23" s="1830"/>
      <c r="I23" s="1830"/>
      <c r="J23" s="1830"/>
      <c r="K23" s="1830"/>
      <c r="L23" s="1830"/>
      <c r="M23" s="1830"/>
      <c r="N23" s="1830"/>
      <c r="O23" s="1830"/>
      <c r="P23" s="1830"/>
      <c r="Q23" s="6" t="str">
        <f t="shared" si="1"/>
        <v>ND</v>
      </c>
      <c r="R23" s="6" t="str">
        <f t="shared" ref="R23:S23" si="5">IF(AND((F23=0),(L23=0)),"ND",AVERAGE(F23:Q23))</f>
        <v>ND</v>
      </c>
      <c r="S23" s="6" t="str">
        <f t="shared" si="5"/>
        <v>ND</v>
      </c>
      <c r="T23" s="193"/>
      <c r="U23" s="67"/>
      <c r="V23" s="67"/>
    </row>
    <row r="24" spans="1:24" ht="59.25" customHeight="1" x14ac:dyDescent="0.2">
      <c r="A24" s="1745"/>
      <c r="B24" s="705" t="s">
        <v>859</v>
      </c>
      <c r="C24" s="366" t="s">
        <v>359</v>
      </c>
      <c r="D24" s="839">
        <v>0.8</v>
      </c>
      <c r="E24" s="1747">
        <f>451/461</f>
        <v>0.97830802603036882</v>
      </c>
      <c r="F24" s="1747"/>
      <c r="G24" s="1747"/>
      <c r="H24" s="1747"/>
      <c r="I24" s="1747"/>
      <c r="J24" s="1747"/>
      <c r="K24" s="1747">
        <f>461/546</f>
        <v>0.84432234432234432</v>
      </c>
      <c r="L24" s="1747"/>
      <c r="M24" s="1747"/>
      <c r="N24" s="1747"/>
      <c r="O24" s="1747"/>
      <c r="P24" s="1747"/>
      <c r="Q24" s="6">
        <f t="shared" si="1"/>
        <v>0.91131518517635657</v>
      </c>
      <c r="R24" s="6" t="str">
        <f t="shared" ref="R24:S24" si="6">IF(AND((F24=0),(L24=0)),"ND",AVERAGE(F24:Q24))</f>
        <v>ND</v>
      </c>
      <c r="S24" s="6" t="str">
        <f t="shared" si="6"/>
        <v>ND</v>
      </c>
      <c r="T24" s="193"/>
      <c r="U24" s="67">
        <v>1</v>
      </c>
      <c r="V24" s="67">
        <v>1</v>
      </c>
      <c r="W24" s="781">
        <v>1</v>
      </c>
      <c r="X24" s="2">
        <f>8000+225+124</f>
        <v>8349</v>
      </c>
    </row>
    <row r="25" spans="1:24" ht="52.5" hidden="1" customHeight="1" thickBot="1" x14ac:dyDescent="0.25">
      <c r="A25" s="1745"/>
      <c r="B25" s="840" t="s">
        <v>395</v>
      </c>
      <c r="C25" s="366" t="s">
        <v>360</v>
      </c>
      <c r="D25" s="835">
        <v>1</v>
      </c>
      <c r="E25" s="1829"/>
      <c r="F25" s="1829"/>
      <c r="G25" s="1829"/>
      <c r="H25" s="1829"/>
      <c r="I25" s="1829"/>
      <c r="J25" s="1829"/>
      <c r="K25" s="1829"/>
      <c r="L25" s="1829"/>
      <c r="M25" s="1829"/>
      <c r="N25" s="1829"/>
      <c r="O25" s="1829"/>
      <c r="P25" s="1829"/>
      <c r="Q25" s="6" t="str">
        <f t="shared" si="1"/>
        <v>ND</v>
      </c>
      <c r="R25" s="17" t="s">
        <v>26</v>
      </c>
      <c r="S25" s="194" t="s">
        <v>41</v>
      </c>
      <c r="T25" s="193"/>
      <c r="U25" s="67">
        <v>1</v>
      </c>
      <c r="V25" s="67">
        <v>1</v>
      </c>
    </row>
    <row r="26" spans="1:24" ht="52.5" customHeight="1" x14ac:dyDescent="0.2">
      <c r="A26" s="1745"/>
      <c r="B26" s="705" t="s">
        <v>788</v>
      </c>
      <c r="C26" s="366" t="s">
        <v>791</v>
      </c>
      <c r="D26" s="835" t="s">
        <v>626</v>
      </c>
      <c r="E26" s="1748">
        <v>207.07</v>
      </c>
      <c r="F26" s="1749"/>
      <c r="G26" s="1749"/>
      <c r="H26" s="1749"/>
      <c r="I26" s="1749"/>
      <c r="J26" s="1749"/>
      <c r="K26" s="1749"/>
      <c r="L26" s="1749"/>
      <c r="M26" s="1749"/>
      <c r="N26" s="1749"/>
      <c r="O26" s="1749"/>
      <c r="P26" s="1750"/>
      <c r="Q26" s="6">
        <f>E26</f>
        <v>207.07</v>
      </c>
      <c r="R26" s="659"/>
      <c r="S26" s="660"/>
      <c r="T26" s="661"/>
      <c r="U26" s="317"/>
      <c r="V26" s="317">
        <v>1</v>
      </c>
      <c r="W26" s="781">
        <v>1</v>
      </c>
    </row>
    <row r="27" spans="1:24" ht="52.5" customHeight="1" x14ac:dyDescent="0.2">
      <c r="A27" s="1745"/>
      <c r="B27" s="705" t="s">
        <v>789</v>
      </c>
      <c r="C27" s="366" t="s">
        <v>790</v>
      </c>
      <c r="D27" s="835" t="s">
        <v>626</v>
      </c>
      <c r="E27" s="1746" t="s">
        <v>1005</v>
      </c>
      <c r="F27" s="1746"/>
      <c r="G27" s="1746"/>
      <c r="H27" s="1746"/>
      <c r="I27" s="1746"/>
      <c r="J27" s="1746"/>
      <c r="K27" s="1747">
        <v>8.9999999999999998E-4</v>
      </c>
      <c r="L27" s="1747"/>
      <c r="M27" s="1747"/>
      <c r="N27" s="1747"/>
      <c r="O27" s="1747"/>
      <c r="P27" s="1747"/>
      <c r="Q27" s="6">
        <f t="shared" si="1"/>
        <v>8.9999999999999998E-4</v>
      </c>
      <c r="R27" s="659"/>
      <c r="S27" s="660"/>
      <c r="T27" s="661"/>
      <c r="U27" s="317"/>
      <c r="V27" s="317">
        <v>1</v>
      </c>
      <c r="W27" s="781">
        <v>1</v>
      </c>
    </row>
    <row r="28" spans="1:24" ht="101.25" customHeight="1" x14ac:dyDescent="0.2">
      <c r="A28" s="1754" t="s">
        <v>42</v>
      </c>
      <c r="B28" s="713" t="s">
        <v>861</v>
      </c>
      <c r="C28" s="465" t="s">
        <v>1008</v>
      </c>
      <c r="D28" s="714">
        <v>0.5</v>
      </c>
      <c r="E28" s="1816">
        <v>0.60919999999999996</v>
      </c>
      <c r="F28" s="1816"/>
      <c r="G28" s="1816"/>
      <c r="H28" s="1816"/>
      <c r="I28" s="1816"/>
      <c r="J28" s="1816"/>
      <c r="K28" s="1816">
        <v>0.55010000000000003</v>
      </c>
      <c r="L28" s="1816"/>
      <c r="M28" s="1816"/>
      <c r="N28" s="1816"/>
      <c r="O28" s="1816"/>
      <c r="P28" s="1816"/>
      <c r="Q28" s="6">
        <f t="shared" si="1"/>
        <v>0.57965</v>
      </c>
      <c r="R28" s="26" t="s">
        <v>27</v>
      </c>
      <c r="S28" s="27"/>
      <c r="T28" s="9"/>
      <c r="U28" s="67">
        <v>1</v>
      </c>
      <c r="V28" s="67">
        <v>1</v>
      </c>
    </row>
    <row r="29" spans="1:24" ht="101.25" customHeight="1" x14ac:dyDescent="0.2">
      <c r="A29" s="1754"/>
      <c r="B29" s="713" t="s">
        <v>862</v>
      </c>
      <c r="C29" s="465" t="s">
        <v>1009</v>
      </c>
      <c r="D29" s="714">
        <v>0.25</v>
      </c>
      <c r="E29" s="1751">
        <v>0.3412</v>
      </c>
      <c r="F29" s="1751"/>
      <c r="G29" s="1751"/>
      <c r="H29" s="1751"/>
      <c r="I29" s="1751"/>
      <c r="J29" s="1751"/>
      <c r="K29" s="1816">
        <v>0.50590000000000002</v>
      </c>
      <c r="L29" s="1816"/>
      <c r="M29" s="1816"/>
      <c r="N29" s="1816"/>
      <c r="O29" s="1816"/>
      <c r="P29" s="1816"/>
      <c r="Q29" s="6">
        <f t="shared" si="1"/>
        <v>0.42354999999999998</v>
      </c>
      <c r="R29" s="26"/>
      <c r="S29" s="27"/>
      <c r="T29" s="9"/>
      <c r="U29" s="67"/>
      <c r="V29" s="67">
        <v>1</v>
      </c>
      <c r="W29" s="1049"/>
    </row>
    <row r="30" spans="1:24" ht="93" customHeight="1" x14ac:dyDescent="0.2">
      <c r="A30" s="1754"/>
      <c r="B30" s="703" t="s">
        <v>863</v>
      </c>
      <c r="C30" s="366" t="s">
        <v>361</v>
      </c>
      <c r="D30" s="827">
        <v>4.5</v>
      </c>
      <c r="E30" s="1817">
        <v>4.6900000000000004</v>
      </c>
      <c r="F30" s="1818"/>
      <c r="G30" s="1818"/>
      <c r="H30" s="1818"/>
      <c r="I30" s="1818"/>
      <c r="J30" s="1819"/>
      <c r="K30" s="1817">
        <v>4.5199999999999996</v>
      </c>
      <c r="L30" s="1818"/>
      <c r="M30" s="1818"/>
      <c r="N30" s="1818"/>
      <c r="O30" s="1818"/>
      <c r="P30" s="1819"/>
      <c r="Q30" s="6">
        <f t="shared" si="1"/>
        <v>4.6050000000000004</v>
      </c>
      <c r="R30" s="7"/>
      <c r="S30" s="8"/>
      <c r="T30" s="9"/>
      <c r="U30" s="67"/>
      <c r="V30" s="67">
        <v>1</v>
      </c>
    </row>
    <row r="31" spans="1:24" ht="105.75" customHeight="1" x14ac:dyDescent="0.2">
      <c r="A31" s="1754"/>
      <c r="B31" s="703" t="s">
        <v>864</v>
      </c>
      <c r="C31" s="366" t="s">
        <v>362</v>
      </c>
      <c r="D31" s="805">
        <v>4.5</v>
      </c>
      <c r="E31" s="1820">
        <v>4.8</v>
      </c>
      <c r="F31" s="1821"/>
      <c r="G31" s="1821"/>
      <c r="H31" s="1821"/>
      <c r="I31" s="1821"/>
      <c r="J31" s="1822"/>
      <c r="K31" s="1820">
        <v>4.51</v>
      </c>
      <c r="L31" s="1821"/>
      <c r="M31" s="1821"/>
      <c r="N31" s="1821"/>
      <c r="O31" s="1821"/>
      <c r="P31" s="1822"/>
      <c r="Q31" s="6">
        <f t="shared" si="1"/>
        <v>4.6549999999999994</v>
      </c>
      <c r="R31" s="7"/>
      <c r="S31" s="8"/>
      <c r="T31" s="9"/>
      <c r="U31" s="67"/>
      <c r="V31" s="67">
        <v>1</v>
      </c>
      <c r="W31" s="781">
        <v>5</v>
      </c>
      <c r="X31" s="1050"/>
    </row>
    <row r="32" spans="1:24" ht="126.75" customHeight="1" x14ac:dyDescent="0.2">
      <c r="A32" s="1754"/>
      <c r="B32" s="702" t="s">
        <v>865</v>
      </c>
      <c r="C32" s="366" t="s">
        <v>621</v>
      </c>
      <c r="D32" s="712">
        <v>0.08</v>
      </c>
      <c r="E32" s="1751">
        <v>0.17519999999999999</v>
      </c>
      <c r="F32" s="1751"/>
      <c r="G32" s="1751"/>
      <c r="H32" s="1751"/>
      <c r="I32" s="1751"/>
      <c r="J32" s="1751"/>
      <c r="K32" s="1751">
        <v>0.2039</v>
      </c>
      <c r="L32" s="1751"/>
      <c r="M32" s="1751"/>
      <c r="N32" s="1751"/>
      <c r="O32" s="1751"/>
      <c r="P32" s="1751"/>
      <c r="Q32" s="6">
        <f t="shared" si="1"/>
        <v>0.18955</v>
      </c>
      <c r="R32" s="7"/>
      <c r="S32" s="8"/>
      <c r="T32" s="9"/>
      <c r="U32" s="67"/>
      <c r="V32" s="67">
        <v>1</v>
      </c>
      <c r="W32" s="781">
        <v>4.5</v>
      </c>
      <c r="X32" s="2" t="s">
        <v>1249</v>
      </c>
    </row>
    <row r="33" spans="1:24" ht="114.75" customHeight="1" x14ac:dyDescent="0.2">
      <c r="A33" s="1754"/>
      <c r="B33" s="702" t="s">
        <v>860</v>
      </c>
      <c r="C33" s="366" t="s">
        <v>620</v>
      </c>
      <c r="D33" s="712">
        <v>0.1</v>
      </c>
      <c r="E33" s="1751">
        <v>0.1065</v>
      </c>
      <c r="F33" s="1751"/>
      <c r="G33" s="1751"/>
      <c r="H33" s="1751"/>
      <c r="I33" s="1751"/>
      <c r="J33" s="1751"/>
      <c r="K33" s="1751">
        <v>0.13120000000000001</v>
      </c>
      <c r="L33" s="1751"/>
      <c r="M33" s="1751"/>
      <c r="N33" s="1751"/>
      <c r="O33" s="1751"/>
      <c r="P33" s="1751"/>
      <c r="Q33" s="6">
        <f t="shared" si="1"/>
        <v>0.11885000000000001</v>
      </c>
      <c r="R33" s="7"/>
      <c r="S33" s="8"/>
      <c r="T33" s="9"/>
      <c r="U33" s="67"/>
      <c r="V33" s="67">
        <v>1</v>
      </c>
      <c r="W33" s="1049">
        <f>E32</f>
        <v>0.17519999999999999</v>
      </c>
    </row>
    <row r="34" spans="1:24" ht="112.5" customHeight="1" x14ac:dyDescent="0.2">
      <c r="A34" s="1754"/>
      <c r="B34" s="702" t="s">
        <v>866</v>
      </c>
      <c r="C34" s="366" t="s">
        <v>810</v>
      </c>
      <c r="D34" s="712">
        <v>0.05</v>
      </c>
      <c r="E34" s="1751">
        <v>0.26529999999999998</v>
      </c>
      <c r="F34" s="1751"/>
      <c r="G34" s="1751"/>
      <c r="H34" s="1751"/>
      <c r="I34" s="1751"/>
      <c r="J34" s="1751"/>
      <c r="K34" s="1751">
        <v>0.33679999999999999</v>
      </c>
      <c r="L34" s="1751"/>
      <c r="M34" s="1751"/>
      <c r="N34" s="1751"/>
      <c r="O34" s="1751"/>
      <c r="P34" s="1751"/>
      <c r="Q34" s="6">
        <f t="shared" si="1"/>
        <v>0.30104999999999998</v>
      </c>
      <c r="R34" s="7"/>
      <c r="S34" s="8"/>
      <c r="T34" s="9"/>
      <c r="U34" s="67"/>
      <c r="V34" s="67">
        <v>1</v>
      </c>
    </row>
    <row r="35" spans="1:24" ht="60.75" customHeight="1" x14ac:dyDescent="0.2">
      <c r="A35" s="1754"/>
      <c r="B35" s="702" t="s">
        <v>856</v>
      </c>
      <c r="C35" s="366" t="s">
        <v>521</v>
      </c>
      <c r="D35" s="712">
        <v>0.8</v>
      </c>
      <c r="E35" s="1805">
        <f>135/146</f>
        <v>0.92465753424657537</v>
      </c>
      <c r="F35" s="1805"/>
      <c r="G35" s="1805"/>
      <c r="H35" s="1805"/>
      <c r="I35" s="1805"/>
      <c r="J35" s="1805"/>
      <c r="K35" s="1805"/>
      <c r="L35" s="1805"/>
      <c r="M35" s="1805"/>
      <c r="N35" s="1805"/>
      <c r="O35" s="1805"/>
      <c r="P35" s="1805"/>
      <c r="Q35" s="6">
        <f t="shared" si="1"/>
        <v>0.92465753424657537</v>
      </c>
      <c r="R35" s="7"/>
      <c r="S35" s="8"/>
      <c r="T35" s="9"/>
      <c r="U35" s="67"/>
      <c r="V35" s="67">
        <v>1</v>
      </c>
    </row>
    <row r="36" spans="1:24" ht="84" customHeight="1" x14ac:dyDescent="0.2">
      <c r="A36" s="1754"/>
      <c r="B36" s="702" t="s">
        <v>867</v>
      </c>
      <c r="C36" s="366" t="s">
        <v>520</v>
      </c>
      <c r="D36" s="712">
        <v>0.02</v>
      </c>
      <c r="E36" s="1765">
        <v>0.02</v>
      </c>
      <c r="F36" s="1765"/>
      <c r="G36" s="1765"/>
      <c r="H36" s="1765"/>
      <c r="I36" s="1765"/>
      <c r="J36" s="1765"/>
      <c r="K36" s="1765"/>
      <c r="L36" s="1765"/>
      <c r="M36" s="1765"/>
      <c r="N36" s="1765"/>
      <c r="O36" s="1765"/>
      <c r="P36" s="1765"/>
      <c r="Q36" s="6">
        <f t="shared" si="1"/>
        <v>0.02</v>
      </c>
      <c r="R36" s="7"/>
      <c r="S36" s="8"/>
      <c r="T36" s="9"/>
      <c r="U36" s="67"/>
      <c r="V36" s="67">
        <v>1</v>
      </c>
    </row>
    <row r="37" spans="1:24" ht="60.75" customHeight="1" x14ac:dyDescent="0.2">
      <c r="A37" s="1754"/>
      <c r="B37" s="715" t="s">
        <v>792</v>
      </c>
      <c r="C37" s="465" t="s">
        <v>811</v>
      </c>
      <c r="D37" s="716">
        <v>0.02</v>
      </c>
      <c r="E37" s="1751">
        <v>2.2800000000000001E-2</v>
      </c>
      <c r="F37" s="1751"/>
      <c r="G37" s="1751"/>
      <c r="H37" s="1751"/>
      <c r="I37" s="1751"/>
      <c r="J37" s="1751"/>
      <c r="K37" s="1751">
        <v>5.96E-2</v>
      </c>
      <c r="L37" s="1751"/>
      <c r="M37" s="1751"/>
      <c r="N37" s="1751"/>
      <c r="O37" s="1751"/>
      <c r="P37" s="1751"/>
      <c r="Q37" s="6">
        <f t="shared" si="1"/>
        <v>4.1200000000000001E-2</v>
      </c>
      <c r="R37" s="314"/>
      <c r="S37" s="315"/>
      <c r="T37" s="316"/>
      <c r="U37" s="317"/>
      <c r="V37" s="317">
        <v>1</v>
      </c>
    </row>
    <row r="38" spans="1:24" ht="60.75" customHeight="1" x14ac:dyDescent="0.2">
      <c r="A38" s="1754"/>
      <c r="B38" s="1366" t="s">
        <v>793</v>
      </c>
      <c r="C38" s="465" t="s">
        <v>794</v>
      </c>
      <c r="D38" s="716">
        <v>0.02</v>
      </c>
      <c r="E38" s="1753">
        <f>167/23256</f>
        <v>7.1809425524595807E-3</v>
      </c>
      <c r="F38" s="1753"/>
      <c r="G38" s="1753"/>
      <c r="H38" s="1753"/>
      <c r="I38" s="1753"/>
      <c r="J38" s="1753"/>
      <c r="K38" s="1753">
        <f>432/24184</f>
        <v>1.7863049950380416E-2</v>
      </c>
      <c r="L38" s="1753"/>
      <c r="M38" s="1753"/>
      <c r="N38" s="1753"/>
      <c r="O38" s="1753"/>
      <c r="P38" s="1753"/>
      <c r="Q38" s="6">
        <f t="shared" si="1"/>
        <v>1.2521996251419998E-2</v>
      </c>
      <c r="R38" s="314"/>
      <c r="S38" s="315"/>
      <c r="T38" s="316"/>
      <c r="U38" s="317"/>
      <c r="V38" s="317">
        <v>1</v>
      </c>
    </row>
    <row r="39" spans="1:24" ht="60.75" customHeight="1" x14ac:dyDescent="0.2">
      <c r="A39" s="1754"/>
      <c r="B39" s="1367" t="s">
        <v>795</v>
      </c>
      <c r="C39" s="465" t="s">
        <v>796</v>
      </c>
      <c r="D39" s="716">
        <v>0.1</v>
      </c>
      <c r="E39" s="1823">
        <f>0/68</f>
        <v>0</v>
      </c>
      <c r="F39" s="1823"/>
      <c r="G39" s="1823"/>
      <c r="H39" s="1823"/>
      <c r="I39" s="1823"/>
      <c r="J39" s="1823"/>
      <c r="K39" s="1753">
        <f>5/193</f>
        <v>2.5906735751295335E-2</v>
      </c>
      <c r="L39" s="1753"/>
      <c r="M39" s="1753"/>
      <c r="N39" s="1753"/>
      <c r="O39" s="1753"/>
      <c r="P39" s="1753"/>
      <c r="Q39" s="6">
        <f t="shared" si="1"/>
        <v>1.2953367875647668E-2</v>
      </c>
      <c r="R39" s="314"/>
      <c r="S39" s="315"/>
      <c r="T39" s="316"/>
      <c r="U39" s="317"/>
      <c r="V39" s="317">
        <v>1</v>
      </c>
    </row>
    <row r="40" spans="1:24" ht="60.75" customHeight="1" x14ac:dyDescent="0.2">
      <c r="A40" s="1754"/>
      <c r="B40" s="1367" t="s">
        <v>797</v>
      </c>
      <c r="C40" s="465" t="s">
        <v>798</v>
      </c>
      <c r="D40" s="716" t="s">
        <v>626</v>
      </c>
      <c r="E40" s="1710">
        <f>10746/23256</f>
        <v>0.46207430340557276</v>
      </c>
      <c r="F40" s="1710"/>
      <c r="G40" s="1710"/>
      <c r="H40" s="1710"/>
      <c r="I40" s="1710"/>
      <c r="J40" s="1710"/>
      <c r="K40" s="1751">
        <f>11299/24184</f>
        <v>0.4672097254383063</v>
      </c>
      <c r="L40" s="1751"/>
      <c r="M40" s="1751"/>
      <c r="N40" s="1751"/>
      <c r="O40" s="1751"/>
      <c r="P40" s="1751"/>
      <c r="Q40" s="6">
        <f t="shared" si="1"/>
        <v>0.46464201442193953</v>
      </c>
      <c r="R40" s="314"/>
      <c r="S40" s="315"/>
      <c r="T40" s="316"/>
      <c r="U40" s="317"/>
      <c r="V40" s="317">
        <v>1</v>
      </c>
      <c r="X40" s="811" t="s">
        <v>735</v>
      </c>
    </row>
    <row r="41" spans="1:24" ht="60.75" customHeight="1" x14ac:dyDescent="0.2">
      <c r="A41" s="1755"/>
      <c r="B41" s="1367" t="s">
        <v>868</v>
      </c>
      <c r="C41" s="465" t="s">
        <v>869</v>
      </c>
      <c r="D41" s="716">
        <v>0.02</v>
      </c>
      <c r="E41" s="1752">
        <f>70/23252</f>
        <v>3.0104937209702392E-3</v>
      </c>
      <c r="F41" s="1752"/>
      <c r="G41" s="1752"/>
      <c r="H41" s="1752"/>
      <c r="I41" s="1752"/>
      <c r="J41" s="1752"/>
      <c r="K41" s="1753">
        <f>218/24184</f>
        <v>9.0142242805160439E-3</v>
      </c>
      <c r="L41" s="1753"/>
      <c r="M41" s="1753"/>
      <c r="N41" s="1753"/>
      <c r="O41" s="1753"/>
      <c r="P41" s="1753"/>
      <c r="Q41" s="6">
        <f t="shared" si="1"/>
        <v>6.0123590007431418E-3</v>
      </c>
      <c r="R41" s="314"/>
      <c r="S41" s="315"/>
      <c r="T41" s="316"/>
      <c r="U41" s="317"/>
      <c r="V41" s="317">
        <v>1</v>
      </c>
    </row>
    <row r="42" spans="1:24" ht="89.25" customHeight="1" x14ac:dyDescent="0.2">
      <c r="A42" s="1942" t="s">
        <v>43</v>
      </c>
      <c r="B42" s="190" t="s">
        <v>1026</v>
      </c>
      <c r="C42" s="270" t="s">
        <v>523</v>
      </c>
      <c r="D42" s="191">
        <v>0.8</v>
      </c>
      <c r="E42" s="1765">
        <f>16/17</f>
        <v>0.94117647058823528</v>
      </c>
      <c r="F42" s="1765"/>
      <c r="G42" s="1765"/>
      <c r="H42" s="1765"/>
      <c r="I42" s="1765"/>
      <c r="J42" s="1765"/>
      <c r="K42" s="1765"/>
      <c r="L42" s="1765"/>
      <c r="M42" s="1765"/>
      <c r="N42" s="1765"/>
      <c r="O42" s="1765"/>
      <c r="P42" s="1765"/>
      <c r="Q42" s="6">
        <f t="shared" si="1"/>
        <v>0.94117647058823528</v>
      </c>
      <c r="R42" s="7"/>
      <c r="S42" s="8"/>
      <c r="T42" s="9"/>
      <c r="U42" s="67"/>
      <c r="V42" s="67">
        <v>1</v>
      </c>
    </row>
    <row r="43" spans="1:24" ht="23.25" hidden="1" customHeight="1" x14ac:dyDescent="0.2">
      <c r="A43" s="1943"/>
      <c r="B43" s="673" t="s">
        <v>53</v>
      </c>
      <c r="C43" s="674"/>
      <c r="D43" s="675"/>
      <c r="E43" s="1706"/>
      <c r="F43" s="1707"/>
      <c r="G43" s="1707"/>
      <c r="H43" s="1707"/>
      <c r="I43" s="1707"/>
      <c r="J43" s="1707"/>
      <c r="K43" s="1707"/>
      <c r="L43" s="1707"/>
      <c r="M43" s="1707"/>
      <c r="N43" s="1707"/>
      <c r="O43" s="1707"/>
      <c r="P43" s="1708"/>
      <c r="Q43" s="390"/>
      <c r="R43" s="314"/>
      <c r="S43" s="315"/>
      <c r="T43" s="316"/>
      <c r="U43" s="317"/>
      <c r="V43" s="317"/>
    </row>
    <row r="44" spans="1:24" ht="86.25" customHeight="1" x14ac:dyDescent="0.2">
      <c r="A44" s="1943"/>
      <c r="B44" s="180" t="s">
        <v>1027</v>
      </c>
      <c r="C44" s="201" t="s">
        <v>363</v>
      </c>
      <c r="D44" s="169" t="s">
        <v>464</v>
      </c>
      <c r="E44" s="1805">
        <f>3/60</f>
        <v>0.05</v>
      </c>
      <c r="F44" s="1805"/>
      <c r="G44" s="1805"/>
      <c r="H44" s="1805"/>
      <c r="I44" s="1805"/>
      <c r="J44" s="1805"/>
      <c r="K44" s="1805">
        <f>3/51</f>
        <v>5.8823529411764705E-2</v>
      </c>
      <c r="L44" s="1805"/>
      <c r="M44" s="1805"/>
      <c r="N44" s="1805"/>
      <c r="O44" s="1805"/>
      <c r="P44" s="1805"/>
      <c r="Q44" s="6">
        <f t="shared" si="1"/>
        <v>5.4411764705882354E-2</v>
      </c>
      <c r="R44" s="7" t="s">
        <v>26</v>
      </c>
      <c r="S44" s="8" t="s">
        <v>44</v>
      </c>
      <c r="T44" s="9"/>
      <c r="U44" s="67">
        <v>1</v>
      </c>
      <c r="V44" s="67">
        <v>1</v>
      </c>
      <c r="W44" s="781">
        <v>1</v>
      </c>
    </row>
    <row r="45" spans="1:24" ht="99.75" customHeight="1" x14ac:dyDescent="0.2">
      <c r="A45" s="1943"/>
      <c r="B45" s="180" t="s">
        <v>1028</v>
      </c>
      <c r="C45" s="201" t="s">
        <v>364</v>
      </c>
      <c r="D45" s="169" t="s">
        <v>465</v>
      </c>
      <c r="E45" s="1805">
        <f>56/60</f>
        <v>0.93333333333333335</v>
      </c>
      <c r="F45" s="1805"/>
      <c r="G45" s="1805"/>
      <c r="H45" s="1805"/>
      <c r="I45" s="1805"/>
      <c r="J45" s="1805"/>
      <c r="K45" s="1805">
        <f>51/51</f>
        <v>1</v>
      </c>
      <c r="L45" s="1805"/>
      <c r="M45" s="1805"/>
      <c r="N45" s="1805"/>
      <c r="O45" s="1805"/>
      <c r="P45" s="1805"/>
      <c r="Q45" s="6">
        <f t="shared" si="1"/>
        <v>0.96666666666666667</v>
      </c>
      <c r="R45" s="7"/>
      <c r="S45" s="8" t="s">
        <v>44</v>
      </c>
      <c r="T45" s="9"/>
      <c r="U45" s="67">
        <v>1</v>
      </c>
      <c r="V45" s="67">
        <v>1</v>
      </c>
      <c r="W45" s="781">
        <v>1</v>
      </c>
    </row>
    <row r="46" spans="1:24" ht="102" customHeight="1" x14ac:dyDescent="0.2">
      <c r="A46" s="1943"/>
      <c r="B46" s="180" t="s">
        <v>1029</v>
      </c>
      <c r="C46" s="201" t="s">
        <v>365</v>
      </c>
      <c r="D46" s="169" t="s">
        <v>466</v>
      </c>
      <c r="E46" s="1805">
        <f>51/60</f>
        <v>0.85</v>
      </c>
      <c r="F46" s="1805"/>
      <c r="G46" s="1805"/>
      <c r="H46" s="1805"/>
      <c r="I46" s="1805"/>
      <c r="J46" s="1805"/>
      <c r="K46" s="1805">
        <f>43/51</f>
        <v>0.84313725490196079</v>
      </c>
      <c r="L46" s="1805"/>
      <c r="M46" s="1805"/>
      <c r="N46" s="1805"/>
      <c r="O46" s="1805"/>
      <c r="P46" s="1805"/>
      <c r="Q46" s="6">
        <f t="shared" si="1"/>
        <v>0.84656862745098038</v>
      </c>
      <c r="R46" s="7"/>
      <c r="S46" s="8"/>
      <c r="T46" s="9"/>
      <c r="U46" s="67"/>
      <c r="V46" s="67">
        <v>1</v>
      </c>
      <c r="W46" s="781">
        <v>1</v>
      </c>
    </row>
    <row r="47" spans="1:24" ht="102" hidden="1" customHeight="1" thickBot="1" x14ac:dyDescent="0.25">
      <c r="A47" s="1943"/>
      <c r="B47" s="181" t="s">
        <v>407</v>
      </c>
      <c r="C47" s="201" t="s">
        <v>408</v>
      </c>
      <c r="D47" s="170">
        <v>1</v>
      </c>
      <c r="E47" s="424"/>
      <c r="F47" s="424"/>
      <c r="G47" s="424"/>
      <c r="H47" s="424"/>
      <c r="I47" s="424"/>
      <c r="J47" s="424"/>
      <c r="K47" s="425"/>
      <c r="L47" s="425"/>
      <c r="M47" s="425"/>
      <c r="N47" s="425"/>
      <c r="O47" s="425"/>
      <c r="P47" s="425"/>
      <c r="Q47" s="6" t="str">
        <f t="shared" si="1"/>
        <v>ND</v>
      </c>
      <c r="R47" s="7"/>
      <c r="S47" s="8"/>
      <c r="T47" s="9"/>
      <c r="U47" s="67"/>
      <c r="V47" s="67"/>
    </row>
    <row r="48" spans="1:24" ht="51.75" customHeight="1" x14ac:dyDescent="0.2">
      <c r="A48" s="1943"/>
      <c r="B48" s="139" t="s">
        <v>1030</v>
      </c>
      <c r="C48" s="201" t="s">
        <v>611</v>
      </c>
      <c r="D48" s="13">
        <v>0.8</v>
      </c>
      <c r="E48" s="1828">
        <f>40/40</f>
        <v>1</v>
      </c>
      <c r="F48" s="1828"/>
      <c r="G48" s="1828"/>
      <c r="H48" s="1828"/>
      <c r="I48" s="1828"/>
      <c r="J48" s="1828"/>
      <c r="K48" s="1828"/>
      <c r="L48" s="1828"/>
      <c r="M48" s="1828"/>
      <c r="N48" s="1828"/>
      <c r="O48" s="1828"/>
      <c r="P48" s="1828"/>
      <c r="Q48" s="6">
        <f t="shared" si="1"/>
        <v>1</v>
      </c>
      <c r="R48" s="7"/>
      <c r="S48" s="8"/>
      <c r="T48" s="9"/>
      <c r="U48" s="67">
        <v>1</v>
      </c>
      <c r="V48" s="67">
        <v>1</v>
      </c>
      <c r="W48" s="781">
        <v>1</v>
      </c>
    </row>
    <row r="49" spans="1:23" ht="80.25" customHeight="1" x14ac:dyDescent="0.2">
      <c r="A49" s="1943"/>
      <c r="B49" s="139" t="s">
        <v>1031</v>
      </c>
      <c r="C49" s="201" t="s">
        <v>667</v>
      </c>
      <c r="D49" s="13">
        <v>0.8</v>
      </c>
      <c r="E49" s="1828">
        <f>149/153</f>
        <v>0.97385620915032678</v>
      </c>
      <c r="F49" s="1828"/>
      <c r="G49" s="1828"/>
      <c r="H49" s="1828"/>
      <c r="I49" s="1828"/>
      <c r="J49" s="1828"/>
      <c r="K49" s="1828"/>
      <c r="L49" s="1828"/>
      <c r="M49" s="1828"/>
      <c r="N49" s="1828"/>
      <c r="O49" s="1828"/>
      <c r="P49" s="1828"/>
      <c r="Q49" s="6">
        <f t="shared" si="1"/>
        <v>0.97385620915032678</v>
      </c>
      <c r="R49" s="7" t="s">
        <v>26</v>
      </c>
      <c r="S49" s="8" t="s">
        <v>48</v>
      </c>
      <c r="T49" s="9"/>
      <c r="U49" s="67">
        <v>1</v>
      </c>
      <c r="V49" s="67">
        <v>1</v>
      </c>
      <c r="W49" s="781">
        <v>1</v>
      </c>
    </row>
    <row r="50" spans="1:23" ht="72" customHeight="1" x14ac:dyDescent="0.2">
      <c r="A50" s="1943"/>
      <c r="B50" s="815" t="s">
        <v>1032</v>
      </c>
      <c r="C50" s="759" t="s">
        <v>668</v>
      </c>
      <c r="D50" s="783">
        <v>0.8</v>
      </c>
      <c r="E50" s="1934">
        <f>19/21</f>
        <v>0.90476190476190477</v>
      </c>
      <c r="F50" s="1934"/>
      <c r="G50" s="1934"/>
      <c r="H50" s="1934"/>
      <c r="I50" s="1934"/>
      <c r="J50" s="1934"/>
      <c r="K50" s="1934"/>
      <c r="L50" s="1934"/>
      <c r="M50" s="1934"/>
      <c r="N50" s="1934"/>
      <c r="O50" s="1934"/>
      <c r="P50" s="1934"/>
      <c r="Q50" s="6">
        <f t="shared" si="1"/>
        <v>0.90476190476190477</v>
      </c>
      <c r="R50" s="7" t="s">
        <v>26</v>
      </c>
      <c r="S50" s="8" t="s">
        <v>50</v>
      </c>
      <c r="T50" s="9"/>
      <c r="U50" s="67">
        <v>1</v>
      </c>
      <c r="V50" s="67">
        <v>1</v>
      </c>
      <c r="W50" s="781">
        <v>1</v>
      </c>
    </row>
    <row r="51" spans="1:23" ht="136.5" customHeight="1" x14ac:dyDescent="0.2">
      <c r="A51" s="1943"/>
      <c r="B51" s="668" t="s">
        <v>1315</v>
      </c>
      <c r="C51" s="668" t="s">
        <v>1316</v>
      </c>
      <c r="D51" s="1542">
        <v>0.98</v>
      </c>
      <c r="E51" s="1713">
        <v>2.8628999999999998</v>
      </c>
      <c r="F51" s="1713"/>
      <c r="G51" s="1713"/>
      <c r="H51" s="1713"/>
      <c r="I51" s="1713"/>
      <c r="J51" s="1713"/>
      <c r="K51" s="1713"/>
      <c r="L51" s="1713"/>
      <c r="M51" s="1713"/>
      <c r="N51" s="1713"/>
      <c r="O51" s="1713"/>
      <c r="P51" s="1713"/>
      <c r="Q51" s="6">
        <f t="shared" ref="Q51" si="7">IF(AND((E51=0),(K51=0)),"ND",AVERAGE(E51:P51))</f>
        <v>2.8628999999999998</v>
      </c>
      <c r="R51" s="7" t="s">
        <v>26</v>
      </c>
      <c r="S51" s="8" t="s">
        <v>50</v>
      </c>
      <c r="T51" s="9"/>
      <c r="U51" s="67">
        <v>1</v>
      </c>
      <c r="V51" s="67">
        <v>1</v>
      </c>
      <c r="W51" s="1237"/>
    </row>
    <row r="52" spans="1:23" ht="177" customHeight="1" x14ac:dyDescent="0.2">
      <c r="A52" s="1943"/>
      <c r="B52" s="668" t="s">
        <v>1317</v>
      </c>
      <c r="C52" s="668" t="s">
        <v>1318</v>
      </c>
      <c r="D52" s="1542">
        <v>1</v>
      </c>
      <c r="E52" s="1713">
        <v>0.9</v>
      </c>
      <c r="F52" s="1713"/>
      <c r="G52" s="1713"/>
      <c r="H52" s="1713"/>
      <c r="I52" s="1713"/>
      <c r="J52" s="1713"/>
      <c r="K52" s="1713"/>
      <c r="L52" s="1713"/>
      <c r="M52" s="1713"/>
      <c r="N52" s="1713"/>
      <c r="O52" s="1713"/>
      <c r="P52" s="1713"/>
      <c r="Q52" s="6">
        <f t="shared" ref="Q52" si="8">IF(AND((E52=0),(K52=0)),"ND",AVERAGE(E52:P52))</f>
        <v>0.9</v>
      </c>
      <c r="R52" s="7" t="s">
        <v>26</v>
      </c>
      <c r="S52" s="8" t="s">
        <v>50</v>
      </c>
      <c r="T52" s="9"/>
      <c r="U52" s="67">
        <v>1</v>
      </c>
      <c r="V52" s="67">
        <v>1</v>
      </c>
      <c r="W52" s="1237"/>
    </row>
    <row r="53" spans="1:23" ht="177" customHeight="1" x14ac:dyDescent="0.2">
      <c r="A53" s="1943"/>
      <c r="B53" s="668" t="s">
        <v>1319</v>
      </c>
      <c r="C53" s="668" t="s">
        <v>1320</v>
      </c>
      <c r="D53" s="1542">
        <v>0.98</v>
      </c>
      <c r="E53" s="1713">
        <v>0.94120000000000004</v>
      </c>
      <c r="F53" s="1713"/>
      <c r="G53" s="1713"/>
      <c r="H53" s="1713"/>
      <c r="I53" s="1713"/>
      <c r="J53" s="1713"/>
      <c r="K53" s="1713"/>
      <c r="L53" s="1713"/>
      <c r="M53" s="1713"/>
      <c r="N53" s="1713"/>
      <c r="O53" s="1713"/>
      <c r="P53" s="1713"/>
      <c r="Q53" s="6">
        <f t="shared" ref="Q53" si="9">IF(AND((E53=0),(K53=0)),"ND",AVERAGE(E53:P53))</f>
        <v>0.94120000000000004</v>
      </c>
      <c r="R53" s="7" t="s">
        <v>26</v>
      </c>
      <c r="S53" s="8" t="s">
        <v>50</v>
      </c>
      <c r="T53" s="9"/>
      <c r="U53" s="67">
        <v>1</v>
      </c>
      <c r="V53" s="67">
        <v>1</v>
      </c>
      <c r="W53" s="1237"/>
    </row>
    <row r="54" spans="1:23" ht="72" customHeight="1" thickBot="1" x14ac:dyDescent="0.25">
      <c r="A54" s="1944"/>
      <c r="B54" s="1358" t="s">
        <v>984</v>
      </c>
      <c r="C54" s="668" t="s">
        <v>985</v>
      </c>
      <c r="D54" s="786">
        <v>1</v>
      </c>
      <c r="E54" s="1920">
        <f>15/17</f>
        <v>0.88235294117647056</v>
      </c>
      <c r="F54" s="1921"/>
      <c r="G54" s="1921"/>
      <c r="H54" s="1920">
        <f>37/41</f>
        <v>0.90243902439024393</v>
      </c>
      <c r="I54" s="1921"/>
      <c r="J54" s="1921"/>
      <c r="K54" s="1920">
        <f>32/54</f>
        <v>0.59259259259259256</v>
      </c>
      <c r="L54" s="1921"/>
      <c r="M54" s="1921"/>
      <c r="N54" s="1920">
        <f>18/22</f>
        <v>0.81818181818181823</v>
      </c>
      <c r="O54" s="1921"/>
      <c r="P54" s="1921"/>
      <c r="Q54" s="6">
        <f t="shared" si="1"/>
        <v>0.79889159408528132</v>
      </c>
      <c r="R54" s="314"/>
      <c r="S54" s="315"/>
      <c r="T54" s="316"/>
      <c r="U54" s="317"/>
      <c r="V54" s="317">
        <v>1</v>
      </c>
    </row>
    <row r="55" spans="1:23" ht="18.75" customHeight="1" thickBot="1" x14ac:dyDescent="0.25">
      <c r="A55" s="1044"/>
      <c r="B55" s="787" t="s">
        <v>53</v>
      </c>
      <c r="C55" s="201"/>
      <c r="D55" s="188"/>
      <c r="E55" s="1924">
        <f>AVERAGE(E54:J54)</f>
        <v>0.89239598278335719</v>
      </c>
      <c r="F55" s="1924"/>
      <c r="G55" s="1924"/>
      <c r="H55" s="1924"/>
      <c r="I55" s="1924"/>
      <c r="J55" s="1924"/>
      <c r="K55" s="1924">
        <f>AVERAGE(K54:P54)</f>
        <v>0.70538720538720545</v>
      </c>
      <c r="L55" s="1924"/>
      <c r="M55" s="1924"/>
      <c r="N55" s="1924"/>
      <c r="O55" s="1924"/>
      <c r="P55" s="1924"/>
      <c r="Q55" s="11"/>
      <c r="R55" s="7"/>
      <c r="S55" s="8"/>
      <c r="T55" s="9"/>
      <c r="U55" s="67"/>
      <c r="V55" s="67"/>
    </row>
    <row r="56" spans="1:23" ht="66.75" customHeight="1" x14ac:dyDescent="0.2">
      <c r="A56" s="1937" t="s">
        <v>51</v>
      </c>
      <c r="B56" s="788" t="s">
        <v>986</v>
      </c>
      <c r="C56" s="784" t="s">
        <v>366</v>
      </c>
      <c r="D56" s="829">
        <v>1</v>
      </c>
      <c r="E56" s="785">
        <f>74/74</f>
        <v>1</v>
      </c>
      <c r="F56" s="785">
        <f>211/211</f>
        <v>1</v>
      </c>
      <c r="G56" s="458">
        <f>222/222</f>
        <v>1</v>
      </c>
      <c r="H56" s="458">
        <f>204/204</f>
        <v>1</v>
      </c>
      <c r="I56" s="458">
        <f>325/325</f>
        <v>1</v>
      </c>
      <c r="J56" s="458">
        <f>309/309</f>
        <v>1</v>
      </c>
      <c r="K56" s="458">
        <f>248/248</f>
        <v>1</v>
      </c>
      <c r="L56" s="458">
        <f>301/301</f>
        <v>1</v>
      </c>
      <c r="M56" s="458">
        <f>322/322</f>
        <v>1</v>
      </c>
      <c r="N56" s="478">
        <f>317/317</f>
        <v>1</v>
      </c>
      <c r="O56" s="458">
        <f>362/362</f>
        <v>1</v>
      </c>
      <c r="P56" s="458">
        <f>293/293</f>
        <v>1</v>
      </c>
      <c r="Q56" s="6">
        <f t="shared" si="1"/>
        <v>1</v>
      </c>
      <c r="R56" s="7" t="s">
        <v>27</v>
      </c>
      <c r="S56" s="8" t="s">
        <v>52</v>
      </c>
      <c r="T56" s="9"/>
      <c r="U56" s="67">
        <v>1</v>
      </c>
      <c r="V56" s="67">
        <v>1</v>
      </c>
      <c r="W56" s="781">
        <v>1</v>
      </c>
    </row>
    <row r="57" spans="1:23" ht="18.75" customHeight="1" x14ac:dyDescent="0.2">
      <c r="A57" s="1938"/>
      <c r="B57" s="787" t="s">
        <v>53</v>
      </c>
      <c r="C57" s="201"/>
      <c r="D57" s="188"/>
      <c r="E57" s="1924">
        <f>AVERAGE(E56:J56)</f>
        <v>1</v>
      </c>
      <c r="F57" s="1924"/>
      <c r="G57" s="1924"/>
      <c r="H57" s="1924"/>
      <c r="I57" s="1924"/>
      <c r="J57" s="1924"/>
      <c r="K57" s="1924">
        <f>AVERAGE(K56:P56)</f>
        <v>1</v>
      </c>
      <c r="L57" s="1924"/>
      <c r="M57" s="1924"/>
      <c r="N57" s="1924"/>
      <c r="O57" s="1924"/>
      <c r="P57" s="1924"/>
      <c r="Q57" s="11"/>
      <c r="R57" s="7"/>
      <c r="S57" s="8"/>
      <c r="T57" s="9"/>
      <c r="U57" s="67"/>
      <c r="V57" s="67"/>
    </row>
    <row r="58" spans="1:23" ht="72.75" customHeight="1" x14ac:dyDescent="0.2">
      <c r="A58" s="1938"/>
      <c r="B58" s="788" t="s">
        <v>987</v>
      </c>
      <c r="C58" s="271" t="s">
        <v>367</v>
      </c>
      <c r="D58" s="830">
        <v>0.9</v>
      </c>
      <c r="E58" s="664">
        <f>58/69</f>
        <v>0.84057971014492749</v>
      </c>
      <c r="F58" s="459">
        <f>191/199</f>
        <v>0.95979899497487442</v>
      </c>
      <c r="G58" s="459">
        <f>196/220</f>
        <v>0.89090909090909087</v>
      </c>
      <c r="H58" s="664">
        <f>173/203</f>
        <v>0.85221674876847286</v>
      </c>
      <c r="I58" s="458">
        <f>300/308</f>
        <v>0.97402597402597402</v>
      </c>
      <c r="J58" s="458">
        <f>292/298</f>
        <v>0.97986577181208057</v>
      </c>
      <c r="K58" s="701">
        <f>243/253</f>
        <v>0.96047430830039526</v>
      </c>
      <c r="L58" s="701">
        <f>301/305</f>
        <v>0.9868852459016394</v>
      </c>
      <c r="M58" s="459">
        <f>310/317</f>
        <v>0.97791798107255523</v>
      </c>
      <c r="N58" s="478">
        <f>316/326</f>
        <v>0.96932515337423308</v>
      </c>
      <c r="O58" s="459">
        <f>398/439</f>
        <v>0.90660592255125283</v>
      </c>
      <c r="P58" s="459">
        <f>294/322</f>
        <v>0.91304347826086951</v>
      </c>
      <c r="Q58" s="6">
        <f t="shared" si="1"/>
        <v>0.93430403167469711</v>
      </c>
      <c r="R58" s="7"/>
      <c r="S58" s="8"/>
      <c r="T58" s="9"/>
      <c r="U58" s="67"/>
      <c r="V58" s="67">
        <v>1</v>
      </c>
      <c r="W58" s="781">
        <v>1</v>
      </c>
    </row>
    <row r="59" spans="1:23" ht="18.75" customHeight="1" x14ac:dyDescent="0.2">
      <c r="A59" s="1938"/>
      <c r="B59" s="787" t="s">
        <v>53</v>
      </c>
      <c r="C59" s="201"/>
      <c r="D59" s="188"/>
      <c r="E59" s="1924">
        <f>AVERAGE(E58:J58)</f>
        <v>0.91623271510590332</v>
      </c>
      <c r="F59" s="1924"/>
      <c r="G59" s="1924"/>
      <c r="H59" s="1924"/>
      <c r="I59" s="1924"/>
      <c r="J59" s="1924"/>
      <c r="K59" s="1924">
        <f>AVERAGE(K58:P58)</f>
        <v>0.9523753482434909</v>
      </c>
      <c r="L59" s="1924"/>
      <c r="M59" s="1924"/>
      <c r="N59" s="1924"/>
      <c r="O59" s="1924"/>
      <c r="P59" s="1924"/>
      <c r="Q59" s="11"/>
      <c r="R59" s="7"/>
      <c r="S59" s="8"/>
      <c r="T59" s="9"/>
      <c r="U59" s="67"/>
      <c r="V59" s="67"/>
    </row>
    <row r="60" spans="1:23" ht="66.75" customHeight="1" x14ac:dyDescent="0.2">
      <c r="A60" s="1938"/>
      <c r="B60" s="788" t="s">
        <v>988</v>
      </c>
      <c r="C60" s="271" t="s">
        <v>989</v>
      </c>
      <c r="D60" s="831">
        <v>0.9</v>
      </c>
      <c r="E60" s="665">
        <f>22/122</f>
        <v>0.18032786885245902</v>
      </c>
      <c r="F60" s="665">
        <f>168/263</f>
        <v>0.63878326996197721</v>
      </c>
      <c r="G60" s="665">
        <f>193/220</f>
        <v>0.87727272727272732</v>
      </c>
      <c r="H60" s="665">
        <f>203/233</f>
        <v>0.871244635193133</v>
      </c>
      <c r="I60" s="665">
        <f>154/170</f>
        <v>0.90588235294117647</v>
      </c>
      <c r="J60" s="665">
        <f>220/253</f>
        <v>0.86956521739130432</v>
      </c>
      <c r="K60" s="665">
        <f>240/264</f>
        <v>0.90909090909090906</v>
      </c>
      <c r="L60" s="665">
        <f>208/240</f>
        <v>0.8666666666666667</v>
      </c>
      <c r="M60" s="665">
        <f>327/388</f>
        <v>0.84278350515463918</v>
      </c>
      <c r="N60" s="1045">
        <f>195/280</f>
        <v>0.6964285714285714</v>
      </c>
      <c r="O60" s="665">
        <f>289/338</f>
        <v>0.8550295857988166</v>
      </c>
      <c r="P60" s="665">
        <f>164/255</f>
        <v>0.64313725490196083</v>
      </c>
      <c r="Q60" s="6">
        <f t="shared" si="1"/>
        <v>0.76301771372119509</v>
      </c>
      <c r="R60" s="7" t="s">
        <v>27</v>
      </c>
      <c r="S60" s="8" t="s">
        <v>52</v>
      </c>
      <c r="T60" s="9"/>
      <c r="U60" s="67">
        <v>1</v>
      </c>
      <c r="V60" s="67">
        <v>1</v>
      </c>
      <c r="W60" s="781">
        <v>1</v>
      </c>
    </row>
    <row r="61" spans="1:23" ht="18.75" customHeight="1" x14ac:dyDescent="0.2">
      <c r="A61" s="1938"/>
      <c r="B61" s="787" t="s">
        <v>53</v>
      </c>
      <c r="C61" s="201"/>
      <c r="D61" s="188"/>
      <c r="E61" s="1922">
        <f>AVERAGE(E60:J60)</f>
        <v>0.72384601193546283</v>
      </c>
      <c r="F61" s="1922"/>
      <c r="G61" s="1922"/>
      <c r="H61" s="1922"/>
      <c r="I61" s="1922"/>
      <c r="J61" s="1922"/>
      <c r="K61" s="1922">
        <f>AVERAGE(K60:P60)</f>
        <v>0.80218941550692735</v>
      </c>
      <c r="L61" s="1922"/>
      <c r="M61" s="1922"/>
      <c r="N61" s="1922"/>
      <c r="O61" s="1922"/>
      <c r="P61" s="1922"/>
      <c r="Q61" s="11"/>
      <c r="R61" s="7"/>
      <c r="S61" s="8"/>
      <c r="T61" s="9"/>
      <c r="U61" s="67"/>
      <c r="V61" s="67"/>
    </row>
    <row r="62" spans="1:23" ht="99" customHeight="1" x14ac:dyDescent="0.2">
      <c r="A62" s="1938"/>
      <c r="B62" s="139" t="s">
        <v>829</v>
      </c>
      <c r="C62" s="271" t="s">
        <v>369</v>
      </c>
      <c r="D62" s="203">
        <v>0.1</v>
      </c>
      <c r="E62" s="1827">
        <v>0.36070000000000002</v>
      </c>
      <c r="F62" s="1827"/>
      <c r="G62" s="1827"/>
      <c r="H62" s="1827"/>
      <c r="I62" s="1827"/>
      <c r="J62" s="1827"/>
      <c r="K62" s="1827"/>
      <c r="L62" s="1827"/>
      <c r="M62" s="1827"/>
      <c r="N62" s="1827"/>
      <c r="O62" s="1827"/>
      <c r="P62" s="1827"/>
      <c r="Q62" s="6">
        <f t="shared" si="1"/>
        <v>0.36070000000000002</v>
      </c>
      <c r="R62" s="7" t="s">
        <v>27</v>
      </c>
      <c r="S62" s="8" t="s">
        <v>41</v>
      </c>
      <c r="T62" s="9"/>
      <c r="U62" s="67">
        <v>1</v>
      </c>
      <c r="V62" s="67">
        <v>1</v>
      </c>
    </row>
    <row r="63" spans="1:23" ht="83.25" customHeight="1" x14ac:dyDescent="0.2">
      <c r="A63" s="1938"/>
      <c r="B63" s="139" t="s">
        <v>828</v>
      </c>
      <c r="C63" s="271" t="s">
        <v>549</v>
      </c>
      <c r="D63" s="203">
        <v>0.1</v>
      </c>
      <c r="E63" s="1827">
        <v>-1E-3</v>
      </c>
      <c r="F63" s="1827"/>
      <c r="G63" s="1827"/>
      <c r="H63" s="1827"/>
      <c r="I63" s="1827"/>
      <c r="J63" s="1827"/>
      <c r="K63" s="1827"/>
      <c r="L63" s="1827"/>
      <c r="M63" s="1827"/>
      <c r="N63" s="1827"/>
      <c r="O63" s="1827"/>
      <c r="P63" s="1827"/>
      <c r="Q63" s="6">
        <f t="shared" si="1"/>
        <v>-1E-3</v>
      </c>
      <c r="R63" s="7" t="s">
        <v>27</v>
      </c>
      <c r="S63" s="8" t="s">
        <v>41</v>
      </c>
      <c r="T63" s="9"/>
      <c r="U63" s="67">
        <v>1</v>
      </c>
      <c r="V63" s="67">
        <v>1</v>
      </c>
    </row>
    <row r="64" spans="1:23" ht="102" customHeight="1" x14ac:dyDescent="0.2">
      <c r="A64" s="1938"/>
      <c r="B64" s="139" t="s">
        <v>830</v>
      </c>
      <c r="C64" s="271" t="s">
        <v>370</v>
      </c>
      <c r="D64" s="203">
        <v>0.03</v>
      </c>
      <c r="E64" s="1827">
        <v>1.2E-2</v>
      </c>
      <c r="F64" s="1827"/>
      <c r="G64" s="1827"/>
      <c r="H64" s="1827"/>
      <c r="I64" s="1827"/>
      <c r="J64" s="1827"/>
      <c r="K64" s="1827"/>
      <c r="L64" s="1827"/>
      <c r="M64" s="1827"/>
      <c r="N64" s="1827"/>
      <c r="O64" s="1827"/>
      <c r="P64" s="1827"/>
      <c r="Q64" s="6">
        <f t="shared" si="1"/>
        <v>1.2E-2</v>
      </c>
      <c r="R64" s="7"/>
      <c r="S64" s="8"/>
      <c r="T64" s="9"/>
      <c r="U64" s="67"/>
      <c r="V64" s="67">
        <v>1</v>
      </c>
    </row>
    <row r="65" spans="1:257" ht="36.75" customHeight="1" x14ac:dyDescent="0.2">
      <c r="A65" s="1938"/>
      <c r="B65" s="702" t="s">
        <v>990</v>
      </c>
      <c r="C65" s="272" t="s">
        <v>371</v>
      </c>
      <c r="D65" s="203">
        <v>0.75</v>
      </c>
      <c r="E65" s="1925">
        <v>0.92759999999999998</v>
      </c>
      <c r="F65" s="1926"/>
      <c r="G65" s="1926"/>
      <c r="H65" s="1926"/>
      <c r="I65" s="1926"/>
      <c r="J65" s="1926"/>
      <c r="K65" s="1926"/>
      <c r="L65" s="1926"/>
      <c r="M65" s="1926"/>
      <c r="N65" s="1926"/>
      <c r="O65" s="1926"/>
      <c r="P65" s="1927"/>
      <c r="Q65" s="6">
        <f t="shared" si="1"/>
        <v>0.92759999999999998</v>
      </c>
      <c r="R65" s="7" t="s">
        <v>26</v>
      </c>
      <c r="S65" s="8" t="s">
        <v>41</v>
      </c>
      <c r="T65" s="9"/>
      <c r="U65" s="67">
        <v>1</v>
      </c>
      <c r="V65" s="67">
        <v>1</v>
      </c>
    </row>
    <row r="66" spans="1:257" ht="57" customHeight="1" x14ac:dyDescent="0.2">
      <c r="A66" s="1938"/>
      <c r="B66" s="702" t="s">
        <v>991</v>
      </c>
      <c r="C66" s="201" t="s">
        <v>372</v>
      </c>
      <c r="D66" s="828">
        <v>0.8</v>
      </c>
      <c r="E66" s="1751">
        <v>0.94269999999999998</v>
      </c>
      <c r="F66" s="1751"/>
      <c r="G66" s="1751"/>
      <c r="H66" s="1751"/>
      <c r="I66" s="1751"/>
      <c r="J66" s="1751"/>
      <c r="K66" s="1751">
        <v>0.99050000000000005</v>
      </c>
      <c r="L66" s="1751"/>
      <c r="M66" s="1751"/>
      <c r="N66" s="1751"/>
      <c r="O66" s="1751"/>
      <c r="P66" s="1751"/>
      <c r="Q66" s="6">
        <f t="shared" si="1"/>
        <v>0.96660000000000001</v>
      </c>
      <c r="R66" s="7"/>
      <c r="S66" s="8"/>
      <c r="T66" s="9"/>
      <c r="U66" s="67"/>
      <c r="V66" s="67">
        <v>1</v>
      </c>
    </row>
    <row r="67" spans="1:257" ht="69.75" customHeight="1" x14ac:dyDescent="0.2">
      <c r="A67" s="1938"/>
      <c r="B67" s="702" t="s">
        <v>992</v>
      </c>
      <c r="C67" s="201" t="s">
        <v>373</v>
      </c>
      <c r="D67" s="828">
        <v>1</v>
      </c>
      <c r="E67" s="1751">
        <f>5/5</f>
        <v>1</v>
      </c>
      <c r="F67" s="1751"/>
      <c r="G67" s="1751"/>
      <c r="H67" s="1751"/>
      <c r="I67" s="1751"/>
      <c r="J67" s="1751"/>
      <c r="K67" s="1751"/>
      <c r="L67" s="1751"/>
      <c r="M67" s="1751"/>
      <c r="N67" s="1751"/>
      <c r="O67" s="1751"/>
      <c r="P67" s="1751"/>
      <c r="Q67" s="6">
        <f t="shared" si="1"/>
        <v>1</v>
      </c>
      <c r="R67" s="7" t="s">
        <v>27</v>
      </c>
      <c r="S67" s="8" t="s">
        <v>41</v>
      </c>
      <c r="T67" s="9"/>
      <c r="U67" s="67">
        <v>1</v>
      </c>
      <c r="V67" s="67">
        <v>1</v>
      </c>
    </row>
    <row r="68" spans="1:257" ht="66.75" customHeight="1" x14ac:dyDescent="0.2">
      <c r="A68" s="1938"/>
      <c r="B68" s="228" t="s">
        <v>827</v>
      </c>
      <c r="C68" s="272" t="s">
        <v>375</v>
      </c>
      <c r="D68" s="203">
        <v>0.9</v>
      </c>
      <c r="E68" s="1923">
        <f>440/468</f>
        <v>0.94017094017094016</v>
      </c>
      <c r="F68" s="1707"/>
      <c r="G68" s="1707"/>
      <c r="H68" s="1923">
        <f>619/641</f>
        <v>0.96567862714508579</v>
      </c>
      <c r="I68" s="1707"/>
      <c r="J68" s="1707"/>
      <c r="K68" s="1923">
        <f>625/650</f>
        <v>0.96153846153846156</v>
      </c>
      <c r="L68" s="1707"/>
      <c r="M68" s="1707"/>
      <c r="N68" s="1923">
        <f>634/652</f>
        <v>0.97239263803680986</v>
      </c>
      <c r="O68" s="1707"/>
      <c r="P68" s="1707"/>
      <c r="Q68" s="6">
        <f t="shared" si="1"/>
        <v>0.95994516672282437</v>
      </c>
      <c r="R68" s="7" t="s">
        <v>26</v>
      </c>
      <c r="S68" s="8" t="s">
        <v>56</v>
      </c>
      <c r="T68" s="9"/>
      <c r="U68" s="67">
        <v>1</v>
      </c>
      <c r="V68" s="67">
        <v>1</v>
      </c>
      <c r="W68" s="781">
        <v>1</v>
      </c>
    </row>
    <row r="69" spans="1:257" ht="15" customHeight="1" thickBot="1" x14ac:dyDescent="0.25">
      <c r="A69" s="1938"/>
      <c r="B69" s="1939" t="s">
        <v>60</v>
      </c>
      <c r="C69" s="1940"/>
      <c r="D69" s="1941"/>
      <c r="E69" s="1706">
        <f t="shared" ref="E69" si="10">AVERAGE(E68:J68)</f>
        <v>0.95292478365801303</v>
      </c>
      <c r="F69" s="1707"/>
      <c r="G69" s="1707"/>
      <c r="H69" s="1707"/>
      <c r="I69" s="1707"/>
      <c r="J69" s="1708"/>
      <c r="K69" s="1706">
        <f t="shared" ref="K69" si="11">AVERAGE(K68:P68)</f>
        <v>0.96696554978763571</v>
      </c>
      <c r="L69" s="1707"/>
      <c r="M69" s="1707"/>
      <c r="N69" s="1707"/>
      <c r="O69" s="1707"/>
      <c r="P69" s="1708"/>
      <c r="Q69" s="313"/>
      <c r="R69" s="314"/>
      <c r="S69" s="315"/>
      <c r="T69" s="316"/>
      <c r="U69" s="317"/>
      <c r="V69" s="317"/>
    </row>
    <row r="70" spans="1:257" ht="15.75" hidden="1" customHeight="1" thickBot="1" x14ac:dyDescent="0.25">
      <c r="A70" s="1709" t="s">
        <v>57</v>
      </c>
      <c r="B70" s="142" t="s">
        <v>58</v>
      </c>
      <c r="C70" s="270"/>
      <c r="D70" s="27"/>
      <c r="E70" s="1824"/>
      <c r="F70" s="1825"/>
      <c r="G70" s="1825"/>
      <c r="H70" s="1825"/>
      <c r="I70" s="1825"/>
      <c r="J70" s="1826"/>
      <c r="K70" s="1824"/>
      <c r="L70" s="1825"/>
      <c r="M70" s="1825"/>
      <c r="N70" s="1825"/>
      <c r="O70" s="1825"/>
      <c r="P70" s="1826"/>
      <c r="Q70" s="184">
        <f t="shared" ref="Q70:Q73" si="12">SUM(E70:P70)</f>
        <v>0</v>
      </c>
      <c r="R70" s="7"/>
      <c r="S70" s="8"/>
      <c r="T70" s="9"/>
      <c r="U70" s="67"/>
      <c r="V70" s="67"/>
    </row>
    <row r="71" spans="1:257" ht="15.75" hidden="1" customHeight="1" thickBot="1" x14ac:dyDescent="0.25">
      <c r="A71" s="1709"/>
      <c r="B71" s="140" t="s">
        <v>31</v>
      </c>
      <c r="C71" s="201"/>
      <c r="D71" s="8"/>
      <c r="E71" s="1780"/>
      <c r="F71" s="1781"/>
      <c r="G71" s="1781"/>
      <c r="H71" s="1781"/>
      <c r="I71" s="1781"/>
      <c r="J71" s="1782"/>
      <c r="K71" s="1780"/>
      <c r="L71" s="1781"/>
      <c r="M71" s="1781"/>
      <c r="N71" s="1781"/>
      <c r="O71" s="1781"/>
      <c r="P71" s="1782"/>
      <c r="Q71" s="15">
        <f t="shared" si="12"/>
        <v>0</v>
      </c>
      <c r="R71" s="7"/>
      <c r="S71" s="8"/>
      <c r="T71" s="9"/>
      <c r="U71" s="67"/>
      <c r="V71" s="67"/>
    </row>
    <row r="72" spans="1:257" ht="27" hidden="1" customHeight="1" thickBot="1" x14ac:dyDescent="0.25">
      <c r="A72" s="1709"/>
      <c r="B72" s="140" t="s">
        <v>32</v>
      </c>
      <c r="C72" s="201"/>
      <c r="D72" s="8"/>
      <c r="E72" s="1780"/>
      <c r="F72" s="1781"/>
      <c r="G72" s="1781"/>
      <c r="H72" s="1781"/>
      <c r="I72" s="1781"/>
      <c r="J72" s="1782"/>
      <c r="K72" s="1780"/>
      <c r="L72" s="1781"/>
      <c r="M72" s="1781"/>
      <c r="N72" s="1781"/>
      <c r="O72" s="1781"/>
      <c r="P72" s="1782"/>
      <c r="Q72" s="15">
        <f t="shared" si="12"/>
        <v>0</v>
      </c>
      <c r="R72" s="7"/>
      <c r="S72" s="8"/>
      <c r="T72" s="9"/>
      <c r="U72" s="67"/>
      <c r="V72" s="67"/>
    </row>
    <row r="73" spans="1:257" ht="38.25" hidden="1" customHeight="1" thickBot="1" x14ac:dyDescent="0.25">
      <c r="A73" s="1709"/>
      <c r="B73" s="141" t="s">
        <v>33</v>
      </c>
      <c r="C73" s="273"/>
      <c r="D73" s="14"/>
      <c r="E73" s="1843"/>
      <c r="F73" s="1844"/>
      <c r="G73" s="1844"/>
      <c r="H73" s="1844"/>
      <c r="I73" s="1844"/>
      <c r="J73" s="1845"/>
      <c r="K73" s="1843"/>
      <c r="L73" s="1844"/>
      <c r="M73" s="1844"/>
      <c r="N73" s="1844"/>
      <c r="O73" s="1844"/>
      <c r="P73" s="1845"/>
      <c r="Q73" s="183">
        <f t="shared" si="12"/>
        <v>0</v>
      </c>
      <c r="R73" s="7"/>
      <c r="S73" s="8"/>
      <c r="T73" s="9"/>
      <c r="U73" s="67"/>
      <c r="V73" s="67"/>
    </row>
    <row r="74" spans="1:257" ht="91.5" customHeight="1" x14ac:dyDescent="0.2">
      <c r="A74" s="1726" t="s">
        <v>59</v>
      </c>
      <c r="B74" s="189" t="s">
        <v>993</v>
      </c>
      <c r="C74" s="192" t="s">
        <v>376</v>
      </c>
      <c r="D74" s="197">
        <v>0.97</v>
      </c>
      <c r="E74" s="1797">
        <f>92/93</f>
        <v>0.989247311827957</v>
      </c>
      <c r="F74" s="1797"/>
      <c r="G74" s="1797"/>
      <c r="H74" s="1797"/>
      <c r="I74" s="1797"/>
      <c r="J74" s="1797"/>
      <c r="K74" s="1797" t="s">
        <v>1255</v>
      </c>
      <c r="L74" s="1797"/>
      <c r="M74" s="1797"/>
      <c r="N74" s="1797"/>
      <c r="O74" s="1797"/>
      <c r="P74" s="1797"/>
      <c r="Q74" s="6">
        <f t="shared" ref="Q74:Q101" si="13">IF(AND((E74=0),(K74=0)),"ND",AVERAGE(E74:P74))</f>
        <v>0.989247311827957</v>
      </c>
      <c r="R74" s="7" t="s">
        <v>27</v>
      </c>
      <c r="S74" s="8"/>
      <c r="T74" s="9"/>
      <c r="U74" s="67">
        <v>1</v>
      </c>
      <c r="V74" s="67">
        <v>1</v>
      </c>
      <c r="W74" s="781">
        <v>1</v>
      </c>
    </row>
    <row r="75" spans="1:257" ht="60.75" hidden="1" customHeight="1" x14ac:dyDescent="0.2">
      <c r="A75" s="1727"/>
      <c r="B75" s="180" t="s">
        <v>61</v>
      </c>
      <c r="C75" s="201" t="s">
        <v>377</v>
      </c>
      <c r="D75" s="198" t="s">
        <v>551</v>
      </c>
      <c r="E75" s="1797"/>
      <c r="F75" s="1797"/>
      <c r="G75" s="1797"/>
      <c r="H75" s="1797"/>
      <c r="I75" s="1797"/>
      <c r="J75" s="1797"/>
      <c r="K75" s="1797"/>
      <c r="L75" s="1797"/>
      <c r="M75" s="1797"/>
      <c r="N75" s="1797"/>
      <c r="O75" s="1797"/>
      <c r="P75" s="1797"/>
      <c r="Q75" s="6" t="str">
        <f t="shared" si="13"/>
        <v>ND</v>
      </c>
      <c r="R75" s="7"/>
      <c r="S75" s="8"/>
      <c r="T75" s="9"/>
      <c r="U75" s="67"/>
      <c r="V75" s="67"/>
    </row>
    <row r="76" spans="1:257" ht="87" customHeight="1" x14ac:dyDescent="0.2">
      <c r="A76" s="1727"/>
      <c r="B76" s="1373" t="s">
        <v>996</v>
      </c>
      <c r="C76" s="201" t="s">
        <v>378</v>
      </c>
      <c r="D76" s="198">
        <v>0.8</v>
      </c>
      <c r="E76" s="1842"/>
      <c r="F76" s="1842"/>
      <c r="G76" s="1842"/>
      <c r="H76" s="1842"/>
      <c r="I76" s="1842"/>
      <c r="J76" s="1842"/>
      <c r="K76" s="1842"/>
      <c r="L76" s="1842"/>
      <c r="M76" s="1842"/>
      <c r="N76" s="1842"/>
      <c r="O76" s="1842"/>
      <c r="P76" s="1842"/>
      <c r="Q76" s="6" t="str">
        <f t="shared" si="13"/>
        <v>ND</v>
      </c>
      <c r="R76" s="7" t="s">
        <v>27</v>
      </c>
      <c r="S76" s="8"/>
      <c r="T76" s="9"/>
      <c r="U76" s="67">
        <v>1</v>
      </c>
      <c r="V76" s="67">
        <v>1</v>
      </c>
      <c r="W76" s="782"/>
    </row>
    <row r="77" spans="1:257" ht="145.5" hidden="1" customHeight="1" x14ac:dyDescent="0.2">
      <c r="A77" s="1727"/>
      <c r="B77" s="275"/>
      <c r="C77" s="180"/>
      <c r="D77" s="1840"/>
      <c r="E77" s="1797"/>
      <c r="F77" s="1797"/>
      <c r="G77" s="1797"/>
      <c r="H77" s="1797"/>
      <c r="I77" s="1797"/>
      <c r="J77" s="1797"/>
      <c r="K77" s="1797"/>
      <c r="L77" s="1797"/>
      <c r="M77" s="1797"/>
      <c r="N77" s="1797"/>
      <c r="O77" s="1797"/>
      <c r="P77" s="1797"/>
      <c r="Q77" s="6" t="str">
        <f t="shared" si="13"/>
        <v>ND</v>
      </c>
      <c r="R77" s="18"/>
      <c r="S77" s="19"/>
      <c r="T77" s="20"/>
      <c r="U77" s="68"/>
      <c r="V77" s="68"/>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c r="IO77" s="21"/>
      <c r="IP77" s="21"/>
      <c r="IQ77" s="21"/>
      <c r="IR77" s="21"/>
      <c r="IS77" s="21"/>
      <c r="IT77" s="21"/>
      <c r="IU77" s="21"/>
      <c r="IV77" s="21"/>
      <c r="IW77" s="21"/>
    </row>
    <row r="78" spans="1:257" ht="67.5" hidden="1" customHeight="1" x14ac:dyDescent="0.2">
      <c r="A78" s="1727"/>
      <c r="B78" s="1374"/>
      <c r="C78" s="274"/>
      <c r="D78" s="1841"/>
      <c r="E78" s="1798"/>
      <c r="F78" s="1798"/>
      <c r="G78" s="1798"/>
      <c r="H78" s="1798"/>
      <c r="I78" s="1798"/>
      <c r="J78" s="1798"/>
      <c r="K78" s="1798"/>
      <c r="L78" s="1798"/>
      <c r="M78" s="1798"/>
      <c r="N78" s="1798"/>
      <c r="O78" s="1798"/>
      <c r="P78" s="1798"/>
      <c r="Q78" s="6" t="str">
        <f t="shared" si="13"/>
        <v>ND</v>
      </c>
      <c r="R78" s="18"/>
      <c r="S78" s="19"/>
      <c r="T78" s="20"/>
      <c r="U78" s="68"/>
      <c r="V78" s="68"/>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c r="IH78" s="21"/>
      <c r="II78" s="21"/>
      <c r="IJ78" s="21"/>
      <c r="IK78" s="21"/>
      <c r="IL78" s="21"/>
      <c r="IM78" s="21"/>
      <c r="IN78" s="21"/>
      <c r="IO78" s="21"/>
      <c r="IP78" s="21"/>
      <c r="IQ78" s="21"/>
      <c r="IR78" s="21"/>
      <c r="IS78" s="21"/>
      <c r="IT78" s="21"/>
      <c r="IU78" s="21"/>
      <c r="IV78" s="21"/>
      <c r="IW78" s="21"/>
    </row>
    <row r="79" spans="1:257" ht="116.25" hidden="1" customHeight="1" x14ac:dyDescent="0.2">
      <c r="A79" s="1727"/>
      <c r="B79" s="1374"/>
      <c r="C79" s="274"/>
      <c r="D79" s="1841"/>
      <c r="E79" s="1798"/>
      <c r="F79" s="1798"/>
      <c r="G79" s="1798"/>
      <c r="H79" s="1798"/>
      <c r="I79" s="1798"/>
      <c r="J79" s="1798"/>
      <c r="K79" s="1798"/>
      <c r="L79" s="1798"/>
      <c r="M79" s="1798"/>
      <c r="N79" s="1798"/>
      <c r="O79" s="1798"/>
      <c r="P79" s="1798"/>
      <c r="Q79" s="6" t="str">
        <f t="shared" si="13"/>
        <v>ND</v>
      </c>
      <c r="R79" s="18"/>
      <c r="S79" s="19"/>
      <c r="T79" s="20"/>
      <c r="U79" s="68"/>
      <c r="V79" s="68"/>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c r="IH79" s="21"/>
      <c r="II79" s="21"/>
      <c r="IJ79" s="21"/>
      <c r="IK79" s="21"/>
      <c r="IL79" s="21"/>
      <c r="IM79" s="21"/>
      <c r="IN79" s="21"/>
      <c r="IO79" s="21"/>
      <c r="IP79" s="21"/>
      <c r="IQ79" s="21"/>
      <c r="IR79" s="21"/>
      <c r="IS79" s="21"/>
      <c r="IT79" s="21"/>
      <c r="IU79" s="21"/>
      <c r="IV79" s="21"/>
      <c r="IW79" s="21"/>
    </row>
    <row r="80" spans="1:257" s="21" customFormat="1" ht="99.75" hidden="1" customHeight="1" x14ac:dyDescent="0.2">
      <c r="A80" s="1727"/>
      <c r="B80" s="1374"/>
      <c r="C80" s="201"/>
      <c r="D80" s="1841"/>
      <c r="E80" s="1798"/>
      <c r="F80" s="1798"/>
      <c r="G80" s="1798"/>
      <c r="H80" s="1798"/>
      <c r="I80" s="1798"/>
      <c r="J80" s="1798"/>
      <c r="K80" s="1798"/>
      <c r="L80" s="1798"/>
      <c r="M80" s="1798"/>
      <c r="N80" s="1798"/>
      <c r="O80" s="1798"/>
      <c r="P80" s="1798"/>
      <c r="Q80" s="6" t="str">
        <f t="shared" si="13"/>
        <v>ND</v>
      </c>
      <c r="R80" s="18"/>
      <c r="S80" s="19"/>
      <c r="T80" s="20"/>
      <c r="U80" s="68"/>
      <c r="V80" s="68"/>
      <c r="W80" s="781"/>
    </row>
    <row r="81" spans="1:257" s="21" customFormat="1" ht="83.25" hidden="1" customHeight="1" x14ac:dyDescent="0.2">
      <c r="A81" s="1727"/>
      <c r="B81" s="1374"/>
      <c r="C81" s="201"/>
      <c r="D81" s="1841"/>
      <c r="E81" s="1798"/>
      <c r="F81" s="1798"/>
      <c r="G81" s="1798"/>
      <c r="H81" s="1798"/>
      <c r="I81" s="1798"/>
      <c r="J81" s="1798"/>
      <c r="K81" s="1798"/>
      <c r="L81" s="1798"/>
      <c r="M81" s="1798"/>
      <c r="N81" s="1798"/>
      <c r="O81" s="1798"/>
      <c r="P81" s="1798"/>
      <c r="Q81" s="6" t="str">
        <f t="shared" si="13"/>
        <v>ND</v>
      </c>
      <c r="R81" s="18"/>
      <c r="S81" s="19"/>
      <c r="T81" s="20"/>
      <c r="U81" s="68"/>
      <c r="V81" s="68"/>
      <c r="W81" s="781"/>
    </row>
    <row r="82" spans="1:257" s="21" customFormat="1" ht="58.5" customHeight="1" x14ac:dyDescent="0.2">
      <c r="A82" s="1727"/>
      <c r="B82" s="1373" t="s">
        <v>997</v>
      </c>
      <c r="C82" s="201" t="s">
        <v>728</v>
      </c>
      <c r="D82" s="790">
        <v>0.6</v>
      </c>
      <c r="E82" s="1799">
        <v>1</v>
      </c>
      <c r="F82" s="1800"/>
      <c r="G82" s="1800"/>
      <c r="H82" s="1800"/>
      <c r="I82" s="1800"/>
      <c r="J82" s="1800"/>
      <c r="K82" s="1800"/>
      <c r="L82" s="1800"/>
      <c r="M82" s="1800"/>
      <c r="N82" s="1800"/>
      <c r="O82" s="1800"/>
      <c r="P82" s="1801"/>
      <c r="Q82" s="6">
        <f t="shared" si="13"/>
        <v>1</v>
      </c>
      <c r="R82" s="18"/>
      <c r="S82" s="19"/>
      <c r="T82" s="20"/>
      <c r="U82" s="68"/>
      <c r="V82" s="68">
        <v>1</v>
      </c>
      <c r="W82" s="781"/>
    </row>
    <row r="83" spans="1:257" s="21" customFormat="1" ht="114" hidden="1" customHeight="1" x14ac:dyDescent="0.2">
      <c r="A83" s="1727"/>
      <c r="B83" s="21" t="s">
        <v>707</v>
      </c>
      <c r="C83" s="180" t="s">
        <v>708</v>
      </c>
      <c r="D83" s="1935">
        <v>0.9</v>
      </c>
      <c r="E83" s="1797"/>
      <c r="F83" s="1797"/>
      <c r="G83" s="1797"/>
      <c r="H83" s="1797"/>
      <c r="I83" s="1797"/>
      <c r="J83" s="1797"/>
      <c r="K83" s="1797"/>
      <c r="L83" s="1797"/>
      <c r="M83" s="1797"/>
      <c r="N83" s="1797"/>
      <c r="O83" s="1797"/>
      <c r="P83" s="1797"/>
      <c r="Q83" s="6" t="str">
        <f t="shared" si="13"/>
        <v>ND</v>
      </c>
      <c r="R83" s="7" t="s">
        <v>27</v>
      </c>
      <c r="S83" s="8"/>
      <c r="T83" s="9"/>
      <c r="U83" s="67">
        <v>1</v>
      </c>
      <c r="V83" s="67">
        <v>1</v>
      </c>
      <c r="W83" s="781"/>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row>
    <row r="84" spans="1:257" s="21" customFormat="1" ht="63" customHeight="1" x14ac:dyDescent="0.2">
      <c r="A84" s="1727"/>
      <c r="B84" s="789" t="s">
        <v>994</v>
      </c>
      <c r="C84" s="201" t="s">
        <v>709</v>
      </c>
      <c r="D84" s="1936"/>
      <c r="E84" s="1797">
        <f>9/10</f>
        <v>0.9</v>
      </c>
      <c r="F84" s="1797"/>
      <c r="G84" s="1797"/>
      <c r="H84" s="1797"/>
      <c r="I84" s="1797"/>
      <c r="J84" s="1797"/>
      <c r="K84" s="1797">
        <v>1</v>
      </c>
      <c r="L84" s="1797"/>
      <c r="M84" s="1797"/>
      <c r="N84" s="1797"/>
      <c r="O84" s="1797"/>
      <c r="P84" s="1797"/>
      <c r="Q84" s="6">
        <f t="shared" si="13"/>
        <v>0.95</v>
      </c>
      <c r="R84" s="22"/>
      <c r="S84" s="14"/>
      <c r="T84" s="23"/>
      <c r="U84" s="69"/>
      <c r="V84" s="69">
        <v>1</v>
      </c>
      <c r="W84" s="781"/>
      <c r="X84" s="2" t="s">
        <v>995</v>
      </c>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row>
    <row r="85" spans="1:257" s="21" customFormat="1" ht="48.75" hidden="1" customHeight="1" x14ac:dyDescent="0.2">
      <c r="A85" s="1727"/>
      <c r="B85" s="180" t="s">
        <v>710</v>
      </c>
      <c r="C85" s="201" t="s">
        <v>711</v>
      </c>
      <c r="D85" s="1936"/>
      <c r="E85" s="1806"/>
      <c r="F85" s="1806"/>
      <c r="G85" s="1806"/>
      <c r="H85" s="1806"/>
      <c r="I85" s="1806"/>
      <c r="J85" s="1806"/>
      <c r="K85" s="1798"/>
      <c r="L85" s="1798"/>
      <c r="M85" s="1798"/>
      <c r="N85" s="1798"/>
      <c r="O85" s="1798"/>
      <c r="P85" s="1798"/>
      <c r="Q85" s="6" t="str">
        <f t="shared" si="13"/>
        <v>ND</v>
      </c>
      <c r="R85" s="22"/>
      <c r="S85" s="14"/>
      <c r="T85" s="23"/>
      <c r="U85" s="69"/>
      <c r="V85" s="69"/>
      <c r="W85" s="781"/>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row>
    <row r="86" spans="1:257" s="21" customFormat="1" ht="80.25" customHeight="1" x14ac:dyDescent="0.2">
      <c r="A86" s="1727"/>
      <c r="B86" s="702" t="s">
        <v>998</v>
      </c>
      <c r="C86" s="366" t="s">
        <v>999</v>
      </c>
      <c r="D86" s="810">
        <v>0.8</v>
      </c>
      <c r="E86" s="1799">
        <v>1</v>
      </c>
      <c r="F86" s="1800"/>
      <c r="G86" s="1800"/>
      <c r="H86" s="1800"/>
      <c r="I86" s="1800"/>
      <c r="J86" s="1800"/>
      <c r="K86" s="1800"/>
      <c r="L86" s="1800"/>
      <c r="M86" s="1800"/>
      <c r="N86" s="1800"/>
      <c r="O86" s="1800"/>
      <c r="P86" s="1801"/>
      <c r="Q86" s="6">
        <f t="shared" si="13"/>
        <v>1</v>
      </c>
      <c r="R86" s="367"/>
      <c r="S86" s="368"/>
      <c r="T86" s="369"/>
      <c r="U86" s="370"/>
      <c r="V86" s="370">
        <v>1</v>
      </c>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row>
    <row r="87" spans="1:257" s="21" customFormat="1" ht="87" customHeight="1" x14ac:dyDescent="0.2">
      <c r="A87" s="1727"/>
      <c r="B87" s="702" t="s">
        <v>1000</v>
      </c>
      <c r="C87" s="366" t="s">
        <v>1001</v>
      </c>
      <c r="D87" s="810">
        <v>0.5</v>
      </c>
      <c r="E87" s="1747">
        <f>120/144</f>
        <v>0.83333333333333337</v>
      </c>
      <c r="F87" s="1747"/>
      <c r="G87" s="1747"/>
      <c r="H87" s="1747">
        <f>104/144</f>
        <v>0.72222222222222221</v>
      </c>
      <c r="I87" s="1747"/>
      <c r="J87" s="1747"/>
      <c r="K87" s="1747">
        <f>84/144</f>
        <v>0.58333333333333337</v>
      </c>
      <c r="L87" s="1747"/>
      <c r="M87" s="1747"/>
      <c r="N87" s="1747">
        <v>0.75</v>
      </c>
      <c r="O87" s="1747"/>
      <c r="P87" s="1747"/>
      <c r="Q87" s="6">
        <f t="shared" si="13"/>
        <v>0.72222222222222221</v>
      </c>
      <c r="R87" s="367"/>
      <c r="S87" s="368"/>
      <c r="T87" s="369"/>
      <c r="U87" s="370"/>
      <c r="V87" s="370">
        <v>1</v>
      </c>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row>
    <row r="88" spans="1:257" ht="15" customHeight="1" x14ac:dyDescent="0.2">
      <c r="A88" s="1727"/>
      <c r="B88" s="1368" t="s">
        <v>60</v>
      </c>
      <c r="C88" s="1369"/>
      <c r="D88" s="1370"/>
      <c r="E88" s="1706">
        <f>AVERAGE(E87:J87)</f>
        <v>0.77777777777777779</v>
      </c>
      <c r="F88" s="1707"/>
      <c r="G88" s="1707"/>
      <c r="H88" s="1707"/>
      <c r="I88" s="1707"/>
      <c r="J88" s="1708"/>
      <c r="K88" s="1706">
        <f>AVERAGE(K87:P87)</f>
        <v>0.66666666666666674</v>
      </c>
      <c r="L88" s="1707"/>
      <c r="M88" s="1707"/>
      <c r="N88" s="1707"/>
      <c r="O88" s="1707"/>
      <c r="P88" s="1708"/>
      <c r="Q88" s="313"/>
      <c r="R88" s="314"/>
      <c r="S88" s="315"/>
      <c r="T88" s="316"/>
      <c r="U88" s="317"/>
      <c r="V88" s="317"/>
    </row>
    <row r="89" spans="1:257" s="21" customFormat="1" ht="48.75" customHeight="1" x14ac:dyDescent="0.2">
      <c r="A89" s="1727"/>
      <c r="B89" s="1372" t="s">
        <v>1002</v>
      </c>
      <c r="C89" s="668" t="s">
        <v>1003</v>
      </c>
      <c r="D89" s="791">
        <v>0.8</v>
      </c>
      <c r="E89" s="1747">
        <f>93/120</f>
        <v>0.77500000000000002</v>
      </c>
      <c r="F89" s="1747"/>
      <c r="G89" s="1747"/>
      <c r="H89" s="1747">
        <f>83/104</f>
        <v>0.79807692307692313</v>
      </c>
      <c r="I89" s="1747"/>
      <c r="J89" s="1747"/>
      <c r="K89" s="1747">
        <f>68/84</f>
        <v>0.80952380952380953</v>
      </c>
      <c r="L89" s="1747"/>
      <c r="M89" s="1747"/>
      <c r="N89" s="1747" t="s">
        <v>1257</v>
      </c>
      <c r="O89" s="1747"/>
      <c r="P89" s="1747"/>
      <c r="Q89" s="6">
        <f t="shared" si="13"/>
        <v>0.79420024420024438</v>
      </c>
      <c r="R89" s="367"/>
      <c r="S89" s="368"/>
      <c r="T89" s="369"/>
      <c r="U89" s="370"/>
      <c r="V89" s="370">
        <v>1</v>
      </c>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row>
    <row r="90" spans="1:257" ht="36" customHeight="1" x14ac:dyDescent="0.2">
      <c r="A90" s="1727"/>
      <c r="B90" s="1368" t="s">
        <v>60</v>
      </c>
      <c r="C90" s="1369"/>
      <c r="D90" s="1370"/>
      <c r="E90" s="1706">
        <f>AVERAGE(E89:J89)</f>
        <v>0.78653846153846163</v>
      </c>
      <c r="F90" s="1707"/>
      <c r="G90" s="1707"/>
      <c r="H90" s="1707"/>
      <c r="I90" s="1707"/>
      <c r="J90" s="1708"/>
      <c r="K90" s="1706">
        <f>AVERAGE(H89:P89)</f>
        <v>0.80380036630036633</v>
      </c>
      <c r="L90" s="1707"/>
      <c r="M90" s="1707"/>
      <c r="N90" s="1707"/>
      <c r="O90" s="1707"/>
      <c r="P90" s="1708"/>
      <c r="Q90" s="6">
        <f t="shared" si="13"/>
        <v>0.79516941391941398</v>
      </c>
      <c r="R90" s="314"/>
      <c r="S90" s="315"/>
      <c r="T90" s="316"/>
      <c r="U90" s="317"/>
      <c r="V90" s="317"/>
    </row>
    <row r="91" spans="1:257" s="21" customFormat="1" ht="80.25" customHeight="1" x14ac:dyDescent="0.2">
      <c r="A91" s="1727"/>
      <c r="B91" s="1373" t="s">
        <v>822</v>
      </c>
      <c r="C91" s="201" t="s">
        <v>823</v>
      </c>
      <c r="D91" s="667" t="s">
        <v>626</v>
      </c>
      <c r="E91" s="1895">
        <v>0</v>
      </c>
      <c r="F91" s="1896"/>
      <c r="G91" s="1896"/>
      <c r="H91" s="1896"/>
      <c r="I91" s="1896"/>
      <c r="J91" s="1896"/>
      <c r="K91" s="1896"/>
      <c r="L91" s="1896"/>
      <c r="M91" s="1896"/>
      <c r="N91" s="1896"/>
      <c r="O91" s="1896"/>
      <c r="P91" s="1897"/>
      <c r="Q91" s="6" t="str">
        <f t="shared" si="13"/>
        <v>ND</v>
      </c>
      <c r="R91" s="367"/>
      <c r="S91" s="368"/>
      <c r="T91" s="369"/>
      <c r="U91" s="370"/>
      <c r="V91" s="370">
        <v>1</v>
      </c>
      <c r="W91" s="781"/>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row>
    <row r="92" spans="1:257" s="21" customFormat="1" ht="80.25" customHeight="1" x14ac:dyDescent="0.2">
      <c r="A92" s="1727"/>
      <c r="B92" s="1224" t="s">
        <v>1258</v>
      </c>
      <c r="C92" s="366"/>
      <c r="D92" s="1223">
        <v>0.8</v>
      </c>
      <c r="E92" s="1802"/>
      <c r="F92" s="1803"/>
      <c r="G92" s="1803"/>
      <c r="H92" s="1803"/>
      <c r="I92" s="1803"/>
      <c r="J92" s="1804"/>
      <c r="K92" s="1802"/>
      <c r="L92" s="1803"/>
      <c r="M92" s="1803"/>
      <c r="N92" s="1803"/>
      <c r="O92" s="1803"/>
      <c r="P92" s="1804"/>
      <c r="Q92" s="6" t="str">
        <f t="shared" ref="Q92" si="14">IF(AND((E92=0),(K92=0)),"ND",AVERAGE(E92:P92))</f>
        <v>ND</v>
      </c>
      <c r="R92" s="367"/>
      <c r="S92" s="368"/>
      <c r="T92" s="369"/>
      <c r="U92" s="370"/>
      <c r="V92" s="370"/>
      <c r="W92" s="781"/>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row>
    <row r="93" spans="1:257" s="21" customFormat="1" ht="87" hidden="1" customHeight="1" x14ac:dyDescent="0.2">
      <c r="A93" s="1727"/>
      <c r="B93" s="789" t="s">
        <v>800</v>
      </c>
      <c r="C93" s="201" t="s">
        <v>801</v>
      </c>
      <c r="D93" s="667" t="s">
        <v>626</v>
      </c>
      <c r="E93" s="792">
        <v>316.67</v>
      </c>
      <c r="F93" s="792">
        <v>590</v>
      </c>
      <c r="G93" s="792">
        <v>777.27</v>
      </c>
      <c r="H93" s="792">
        <v>862.5</v>
      </c>
      <c r="I93" s="792">
        <v>557.14</v>
      </c>
      <c r="J93" s="792">
        <v>515</v>
      </c>
      <c r="K93" s="792">
        <v>585</v>
      </c>
      <c r="L93" s="421">
        <v>1.5909</v>
      </c>
      <c r="M93" s="421">
        <v>5.4090999999999996</v>
      </c>
      <c r="N93" s="421">
        <v>6.5</v>
      </c>
      <c r="O93" s="421">
        <v>5.8</v>
      </c>
      <c r="P93" s="421">
        <v>4.1818</v>
      </c>
      <c r="Q93" s="6">
        <f t="shared" si="13"/>
        <v>352.25515000000001</v>
      </c>
      <c r="R93" s="367"/>
      <c r="S93" s="368"/>
      <c r="T93" s="369"/>
      <c r="U93" s="370"/>
      <c r="V93" s="370">
        <v>1</v>
      </c>
      <c r="W93" s="781">
        <v>1</v>
      </c>
      <c r="X93" s="811" t="s">
        <v>735</v>
      </c>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row>
    <row r="94" spans="1:257" ht="18.75" hidden="1" customHeight="1" x14ac:dyDescent="0.2">
      <c r="A94" s="1727"/>
      <c r="B94" s="998" t="s">
        <v>53</v>
      </c>
      <c r="C94" s="201"/>
      <c r="D94" s="272"/>
      <c r="E94" s="1810">
        <f>AVERAGE(E93:J93)</f>
        <v>603.09666666666669</v>
      </c>
      <c r="F94" s="1811"/>
      <c r="G94" s="1811"/>
      <c r="H94" s="1811"/>
      <c r="I94" s="1811"/>
      <c r="J94" s="1811"/>
      <c r="K94" s="1810">
        <f>AVERAGE(K93:P93)</f>
        <v>101.41363333333332</v>
      </c>
      <c r="L94" s="1811"/>
      <c r="M94" s="1811"/>
      <c r="N94" s="1811"/>
      <c r="O94" s="1811"/>
      <c r="P94" s="1811"/>
      <c r="Q94" s="11"/>
      <c r="R94" s="7"/>
      <c r="S94" s="8"/>
      <c r="T94" s="9"/>
      <c r="U94" s="67"/>
      <c r="V94" s="67"/>
    </row>
    <row r="95" spans="1:257" ht="48.75" customHeight="1" x14ac:dyDescent="0.2">
      <c r="A95" s="1727"/>
      <c r="B95" s="789" t="s">
        <v>802</v>
      </c>
      <c r="C95" s="201" t="s">
        <v>806</v>
      </c>
      <c r="D95" s="667" t="s">
        <v>626</v>
      </c>
      <c r="E95" s="792">
        <v>0</v>
      </c>
      <c r="F95" s="792">
        <v>0</v>
      </c>
      <c r="G95" s="792">
        <v>0.17</v>
      </c>
      <c r="H95" s="792">
        <v>0.08</v>
      </c>
      <c r="I95" s="792">
        <v>0.08</v>
      </c>
      <c r="J95" s="792">
        <v>0.09</v>
      </c>
      <c r="K95" s="843">
        <f>0/1089</f>
        <v>0</v>
      </c>
      <c r="L95" s="421">
        <f>2/1129</f>
        <v>1.7714791851195749E-3</v>
      </c>
      <c r="M95" s="421">
        <f>1/1215</f>
        <v>8.2304526748971192E-4</v>
      </c>
      <c r="N95" s="421">
        <f>1/1118</f>
        <v>8.9445438282647585E-4</v>
      </c>
      <c r="O95" s="421">
        <f>1/1122</f>
        <v>8.9126559714795004E-4</v>
      </c>
      <c r="P95" s="421">
        <f>0/408</f>
        <v>0</v>
      </c>
      <c r="Q95" s="6" t="str">
        <f t="shared" si="13"/>
        <v>ND</v>
      </c>
      <c r="R95" s="22"/>
      <c r="S95" s="14"/>
      <c r="T95" s="23"/>
      <c r="U95" s="69"/>
      <c r="V95" s="69">
        <v>1</v>
      </c>
      <c r="W95" s="781">
        <v>1</v>
      </c>
    </row>
    <row r="96" spans="1:257" ht="18.75" customHeight="1" x14ac:dyDescent="0.2">
      <c r="A96" s="1727"/>
      <c r="B96" s="1371" t="s">
        <v>53</v>
      </c>
      <c r="C96" s="201"/>
      <c r="D96" s="272"/>
      <c r="E96" s="1810">
        <f>AVERAGE(E95:J95)</f>
        <v>7.0000000000000007E-2</v>
      </c>
      <c r="F96" s="1811"/>
      <c r="G96" s="1811"/>
      <c r="H96" s="1811"/>
      <c r="I96" s="1811"/>
      <c r="J96" s="1811"/>
      <c r="K96" s="1849">
        <f>AVERAGE(K95:P95)</f>
        <v>7.3004073876395197E-4</v>
      </c>
      <c r="L96" s="1849"/>
      <c r="M96" s="1849"/>
      <c r="N96" s="1849"/>
      <c r="O96" s="1849"/>
      <c r="P96" s="1849"/>
      <c r="Q96" s="11"/>
      <c r="R96" s="7"/>
      <c r="S96" s="8"/>
      <c r="T96" s="9"/>
      <c r="U96" s="67"/>
      <c r="V96" s="67"/>
    </row>
    <row r="97" spans="1:24" ht="82.5" customHeight="1" x14ac:dyDescent="0.2">
      <c r="A97" s="1727"/>
      <c r="B97" s="789" t="s">
        <v>803</v>
      </c>
      <c r="C97" s="201" t="s">
        <v>807</v>
      </c>
      <c r="D97" s="667" t="s">
        <v>626</v>
      </c>
      <c r="E97" s="792">
        <v>0</v>
      </c>
      <c r="F97" s="792">
        <v>4</v>
      </c>
      <c r="G97" s="792">
        <v>4.76</v>
      </c>
      <c r="H97" s="792">
        <v>4.29</v>
      </c>
      <c r="I97" s="792">
        <v>4.3499999999999996</v>
      </c>
      <c r="J97" s="792">
        <v>1.97</v>
      </c>
      <c r="K97" s="421">
        <v>1.7399999999999999E-2</v>
      </c>
      <c r="L97" s="421">
        <v>0</v>
      </c>
      <c r="M97" s="421">
        <v>1.8100000000000002E-2</v>
      </c>
      <c r="N97" s="421">
        <v>2.24E-2</v>
      </c>
      <c r="O97" s="421">
        <v>1.78E-2</v>
      </c>
      <c r="P97" s="421">
        <v>2.7E-2</v>
      </c>
      <c r="Q97" s="6">
        <f t="shared" si="13"/>
        <v>1.622725</v>
      </c>
      <c r="R97" s="22"/>
      <c r="S97" s="14"/>
      <c r="T97" s="23"/>
      <c r="U97" s="69"/>
      <c r="V97" s="69">
        <v>1</v>
      </c>
      <c r="W97" s="781">
        <v>1</v>
      </c>
    </row>
    <row r="98" spans="1:24" ht="18.75" customHeight="1" x14ac:dyDescent="0.2">
      <c r="A98" s="1727"/>
      <c r="B98" s="998" t="s">
        <v>53</v>
      </c>
      <c r="C98" s="201"/>
      <c r="D98" s="272"/>
      <c r="E98" s="1810">
        <f>AVERAGE(E97:J97)</f>
        <v>3.2283333333333331</v>
      </c>
      <c r="F98" s="1811"/>
      <c r="G98" s="1811"/>
      <c r="H98" s="1811"/>
      <c r="I98" s="1811"/>
      <c r="J98" s="1811"/>
      <c r="K98" s="1810">
        <f>AVERAGE(K97:P97)</f>
        <v>1.7116666666666665E-2</v>
      </c>
      <c r="L98" s="1811"/>
      <c r="M98" s="1811"/>
      <c r="N98" s="1811"/>
      <c r="O98" s="1811"/>
      <c r="P98" s="1811"/>
      <c r="Q98" s="11"/>
      <c r="R98" s="7"/>
      <c r="S98" s="8"/>
      <c r="T98" s="9"/>
      <c r="U98" s="67"/>
      <c r="V98" s="67"/>
    </row>
    <row r="99" spans="1:24" ht="65.25" customHeight="1" x14ac:dyDescent="0.2">
      <c r="A99" s="1727"/>
      <c r="B99" s="789" t="s">
        <v>804</v>
      </c>
      <c r="C99" s="201" t="s">
        <v>808</v>
      </c>
      <c r="D99" s="667" t="s">
        <v>626</v>
      </c>
      <c r="E99" s="1225">
        <v>0</v>
      </c>
      <c r="F99" s="1225">
        <v>0</v>
      </c>
      <c r="G99" s="1225">
        <v>0</v>
      </c>
      <c r="H99" s="1225">
        <f>0/4</f>
        <v>0</v>
      </c>
      <c r="I99" s="1225">
        <v>0</v>
      </c>
      <c r="J99" s="1225">
        <f>0/6</f>
        <v>0</v>
      </c>
      <c r="K99" s="1225">
        <f>0/7</f>
        <v>0</v>
      </c>
      <c r="L99" s="1226">
        <v>0</v>
      </c>
      <c r="M99" s="1226">
        <v>0</v>
      </c>
      <c r="N99" s="1226">
        <v>0</v>
      </c>
      <c r="O99" s="1226">
        <v>0</v>
      </c>
      <c r="P99" s="1226">
        <v>0</v>
      </c>
      <c r="Q99" s="6" t="str">
        <f t="shared" si="13"/>
        <v>ND</v>
      </c>
      <c r="R99" s="22" t="s">
        <v>27</v>
      </c>
      <c r="S99" s="14"/>
      <c r="T99" s="23"/>
      <c r="U99" s="69">
        <v>1</v>
      </c>
      <c r="V99" s="69">
        <v>1</v>
      </c>
      <c r="W99" s="781">
        <v>1</v>
      </c>
    </row>
    <row r="100" spans="1:24" ht="18.75" customHeight="1" x14ac:dyDescent="0.2">
      <c r="A100" s="1727"/>
      <c r="B100" s="998" t="s">
        <v>53</v>
      </c>
      <c r="C100" s="201"/>
      <c r="D100" s="272"/>
      <c r="E100" s="1810">
        <f>AVERAGE(E99:J99)</f>
        <v>0</v>
      </c>
      <c r="F100" s="1811"/>
      <c r="G100" s="1811"/>
      <c r="H100" s="1811"/>
      <c r="I100" s="1811"/>
      <c r="J100" s="1811"/>
      <c r="K100" s="1810">
        <f>AVERAGE(K99:P99)</f>
        <v>0</v>
      </c>
      <c r="L100" s="1811"/>
      <c r="M100" s="1811"/>
      <c r="N100" s="1811"/>
      <c r="O100" s="1811"/>
      <c r="P100" s="1811"/>
      <c r="Q100" s="11"/>
      <c r="R100" s="7"/>
      <c r="S100" s="8"/>
      <c r="T100" s="9"/>
      <c r="U100" s="67"/>
      <c r="V100" s="67"/>
    </row>
    <row r="101" spans="1:24" ht="54" customHeight="1" thickBot="1" x14ac:dyDescent="0.25">
      <c r="A101" s="1727"/>
      <c r="B101" s="1375" t="s">
        <v>805</v>
      </c>
      <c r="C101" s="669" t="s">
        <v>809</v>
      </c>
      <c r="D101" s="667" t="s">
        <v>626</v>
      </c>
      <c r="E101" s="1807">
        <v>0</v>
      </c>
      <c r="F101" s="1808"/>
      <c r="G101" s="1808"/>
      <c r="H101" s="1808"/>
      <c r="I101" s="1808"/>
      <c r="J101" s="1808"/>
      <c r="K101" s="1808"/>
      <c r="L101" s="1808"/>
      <c r="M101" s="1808"/>
      <c r="N101" s="1808"/>
      <c r="O101" s="1808"/>
      <c r="P101" s="1809"/>
      <c r="Q101" s="6" t="str">
        <f t="shared" si="13"/>
        <v>ND</v>
      </c>
      <c r="R101" s="24"/>
      <c r="S101" s="24"/>
      <c r="U101" s="70"/>
      <c r="V101" s="70">
        <v>1</v>
      </c>
    </row>
    <row r="102" spans="1:24" ht="26.25" hidden="1" customHeight="1" thickBot="1" x14ac:dyDescent="0.25">
      <c r="A102" s="1916" t="s">
        <v>62</v>
      </c>
      <c r="B102" s="142" t="s">
        <v>58</v>
      </c>
      <c r="C102" s="270"/>
      <c r="D102" s="27"/>
      <c r="E102" s="1917"/>
      <c r="F102" s="1918"/>
      <c r="G102" s="1918"/>
      <c r="H102" s="1918"/>
      <c r="I102" s="1918"/>
      <c r="J102" s="1919"/>
      <c r="K102" s="1824"/>
      <c r="L102" s="1825"/>
      <c r="M102" s="1825"/>
      <c r="N102" s="1825"/>
      <c r="O102" s="1825"/>
      <c r="P102" s="1826"/>
      <c r="Q102" s="184">
        <f t="shared" ref="Q102:Q128" si="15">SUM(E102:P102)</f>
        <v>0</v>
      </c>
      <c r="R102" s="24"/>
      <c r="S102" s="24"/>
      <c r="U102" s="70"/>
      <c r="V102" s="70"/>
    </row>
    <row r="103" spans="1:24" ht="23.25" hidden="1" customHeight="1" thickBot="1" x14ac:dyDescent="0.25">
      <c r="A103" s="1916"/>
      <c r="B103" s="140" t="s">
        <v>31</v>
      </c>
      <c r="C103" s="201"/>
      <c r="D103" s="8"/>
      <c r="E103" s="1846"/>
      <c r="F103" s="1847"/>
      <c r="G103" s="1847"/>
      <c r="H103" s="1847"/>
      <c r="I103" s="1847"/>
      <c r="J103" s="1848"/>
      <c r="K103" s="1780"/>
      <c r="L103" s="1781"/>
      <c r="M103" s="1781"/>
      <c r="N103" s="1781"/>
      <c r="O103" s="1781"/>
      <c r="P103" s="1782"/>
      <c r="Q103" s="15">
        <f t="shared" si="15"/>
        <v>0</v>
      </c>
      <c r="R103" s="24"/>
      <c r="S103" s="24"/>
      <c r="U103" s="70"/>
      <c r="V103" s="70"/>
    </row>
    <row r="104" spans="1:24" ht="23.25" hidden="1" customHeight="1" thickBot="1" x14ac:dyDescent="0.25">
      <c r="A104" s="1916"/>
      <c r="B104" s="140" t="s">
        <v>32</v>
      </c>
      <c r="C104" s="201"/>
      <c r="D104" s="8"/>
      <c r="E104" s="1846"/>
      <c r="F104" s="1847"/>
      <c r="G104" s="1847"/>
      <c r="H104" s="1847"/>
      <c r="I104" s="1847"/>
      <c r="J104" s="1848"/>
      <c r="K104" s="1780"/>
      <c r="L104" s="1781"/>
      <c r="M104" s="1781"/>
      <c r="N104" s="1781"/>
      <c r="O104" s="1781"/>
      <c r="P104" s="1782"/>
      <c r="Q104" s="15">
        <f t="shared" si="15"/>
        <v>0</v>
      </c>
      <c r="R104" s="24"/>
      <c r="S104" s="24"/>
      <c r="U104" s="70"/>
      <c r="V104" s="70"/>
    </row>
    <row r="105" spans="1:24" ht="38.25" hidden="1" customHeight="1" thickBot="1" x14ac:dyDescent="0.25">
      <c r="A105" s="1916"/>
      <c r="B105" s="141" t="s">
        <v>33</v>
      </c>
      <c r="C105" s="273"/>
      <c r="D105" s="14"/>
      <c r="E105" s="1783"/>
      <c r="F105" s="1784"/>
      <c r="G105" s="1784"/>
      <c r="H105" s="1784"/>
      <c r="I105" s="1784"/>
      <c r="J105" s="1785"/>
      <c r="K105" s="1843"/>
      <c r="L105" s="1844"/>
      <c r="M105" s="1844"/>
      <c r="N105" s="1844"/>
      <c r="O105" s="1844"/>
      <c r="P105" s="1845"/>
      <c r="Q105" s="183">
        <f t="shared" si="15"/>
        <v>0</v>
      </c>
      <c r="R105" s="24"/>
      <c r="S105" s="24"/>
      <c r="U105" s="70"/>
      <c r="V105" s="70"/>
    </row>
    <row r="106" spans="1:24" ht="71.25" customHeight="1" x14ac:dyDescent="0.2">
      <c r="A106" s="1739" t="s">
        <v>63</v>
      </c>
      <c r="B106" s="1715" t="s">
        <v>825</v>
      </c>
      <c r="C106" s="1717" t="s">
        <v>380</v>
      </c>
      <c r="D106" s="185">
        <v>0.97</v>
      </c>
      <c r="E106" s="460">
        <f>87/87</f>
        <v>1</v>
      </c>
      <c r="F106" s="460">
        <f>316/317</f>
        <v>0.99684542586750791</v>
      </c>
      <c r="G106" s="460">
        <f>367/371</f>
        <v>0.98921832884097038</v>
      </c>
      <c r="H106" s="460">
        <f>509/510</f>
        <v>0.99803921568627452</v>
      </c>
      <c r="I106" s="999">
        <f>259/260</f>
        <v>0.99615384615384617</v>
      </c>
      <c r="J106" s="999">
        <f>93/95</f>
        <v>0.97894736842105268</v>
      </c>
      <c r="K106" s="460">
        <f>155/157</f>
        <v>0.98726114649681529</v>
      </c>
      <c r="L106" s="460">
        <f>410/415</f>
        <v>0.98795180722891562</v>
      </c>
      <c r="M106" s="460">
        <f>420/426</f>
        <v>0.9859154929577465</v>
      </c>
      <c r="N106" s="460">
        <f>351/353</f>
        <v>0.99433427762039661</v>
      </c>
      <c r="O106" s="460">
        <f>218/223</f>
        <v>0.97757847533632292</v>
      </c>
      <c r="P106" s="460">
        <f>35/36</f>
        <v>0.97222222222222221</v>
      </c>
      <c r="Q106" s="6">
        <f t="shared" ref="Q106:Q112" si="16">IF(AND((E106=0),(K106=0)),"ND",AVERAGE(E106:P106))</f>
        <v>0.98870563390267241</v>
      </c>
      <c r="R106" s="24"/>
      <c r="S106" s="25"/>
      <c r="U106" s="70">
        <v>1</v>
      </c>
      <c r="V106" s="70">
        <v>1</v>
      </c>
    </row>
    <row r="107" spans="1:24" ht="23.25" customHeight="1" thickBot="1" x14ac:dyDescent="0.25">
      <c r="A107" s="1740"/>
      <c r="B107" s="1716"/>
      <c r="C107" s="1718"/>
      <c r="D107" s="182" t="s">
        <v>60</v>
      </c>
      <c r="E107" s="1777">
        <f>AVERAGE(E106:J106)</f>
        <v>0.993200697494942</v>
      </c>
      <c r="F107" s="1778"/>
      <c r="G107" s="1778"/>
      <c r="H107" s="1778"/>
      <c r="I107" s="1778"/>
      <c r="J107" s="1779"/>
      <c r="K107" s="1777">
        <f>AVERAGE(K106:P106)</f>
        <v>0.98421057031040327</v>
      </c>
      <c r="L107" s="1778"/>
      <c r="M107" s="1778"/>
      <c r="N107" s="1778"/>
      <c r="O107" s="1778"/>
      <c r="P107" s="1779"/>
      <c r="Q107" s="11"/>
      <c r="R107" s="24"/>
      <c r="S107" s="25"/>
      <c r="U107" s="70"/>
      <c r="V107" s="70"/>
    </row>
    <row r="108" spans="1:24" ht="81" customHeight="1" x14ac:dyDescent="0.2">
      <c r="A108" s="1740"/>
      <c r="B108" s="1738" t="s">
        <v>824</v>
      </c>
      <c r="C108" s="1718" t="s">
        <v>382</v>
      </c>
      <c r="D108" s="182">
        <v>0.97</v>
      </c>
      <c r="E108" s="460">
        <f>86/86</f>
        <v>1</v>
      </c>
      <c r="F108" s="460">
        <f>134/134</f>
        <v>1</v>
      </c>
      <c r="G108" s="460">
        <f>131/132</f>
        <v>0.99242424242424243</v>
      </c>
      <c r="H108" s="460">
        <f>162/162</f>
        <v>1</v>
      </c>
      <c r="I108" s="461">
        <f>173/173</f>
        <v>1</v>
      </c>
      <c r="J108" s="461">
        <f>117/118</f>
        <v>0.99152542372881358</v>
      </c>
      <c r="K108" s="460">
        <f>130/130</f>
        <v>1</v>
      </c>
      <c r="L108" s="460">
        <f>183/184</f>
        <v>0.99456521739130432</v>
      </c>
      <c r="M108" s="460">
        <f>166/170</f>
        <v>0.97647058823529409</v>
      </c>
      <c r="N108" s="460">
        <f>125/128</f>
        <v>0.9765625</v>
      </c>
      <c r="O108" s="461">
        <f>122/123</f>
        <v>0.99186991869918695</v>
      </c>
      <c r="P108" s="461">
        <f>53/54</f>
        <v>0.98148148148148151</v>
      </c>
      <c r="Q108" s="6">
        <f t="shared" si="16"/>
        <v>0.99207494766336024</v>
      </c>
      <c r="R108" s="24"/>
      <c r="S108" s="25"/>
      <c r="U108" s="70">
        <v>1</v>
      </c>
      <c r="V108" s="70">
        <v>1</v>
      </c>
    </row>
    <row r="109" spans="1:24" ht="28.5" customHeight="1" x14ac:dyDescent="0.2">
      <c r="A109" s="1740"/>
      <c r="B109" s="1738"/>
      <c r="C109" s="1718"/>
      <c r="D109" s="182" t="s">
        <v>60</v>
      </c>
      <c r="E109" s="1777">
        <f>AVERAGE(E108:J108)</f>
        <v>0.99732494435884256</v>
      </c>
      <c r="F109" s="1778"/>
      <c r="G109" s="1778"/>
      <c r="H109" s="1778"/>
      <c r="I109" s="1778"/>
      <c r="J109" s="1779"/>
      <c r="K109" s="1777">
        <f>AVERAGE(K108:P108)</f>
        <v>0.98682495096787781</v>
      </c>
      <c r="L109" s="1778"/>
      <c r="M109" s="1778"/>
      <c r="N109" s="1778"/>
      <c r="O109" s="1778"/>
      <c r="P109" s="1779"/>
      <c r="Q109" s="11"/>
      <c r="R109" s="24"/>
      <c r="S109" s="25"/>
      <c r="U109" s="70"/>
      <c r="V109" s="70"/>
    </row>
    <row r="110" spans="1:24" ht="66" customHeight="1" x14ac:dyDescent="0.2">
      <c r="A110" s="1740"/>
      <c r="B110" s="1756" t="s">
        <v>826</v>
      </c>
      <c r="C110" s="1795" t="s">
        <v>384</v>
      </c>
      <c r="D110" s="182">
        <v>0.97</v>
      </c>
      <c r="E110" s="461">
        <f t="shared" ref="E110:I112" si="17">461/461</f>
        <v>1</v>
      </c>
      <c r="F110" s="461">
        <f t="shared" si="17"/>
        <v>1</v>
      </c>
      <c r="G110" s="461">
        <f t="shared" si="17"/>
        <v>1</v>
      </c>
      <c r="H110" s="461">
        <f t="shared" si="17"/>
        <v>1</v>
      </c>
      <c r="I110" s="461">
        <f>461/461</f>
        <v>1</v>
      </c>
      <c r="J110" s="461">
        <f>461/461</f>
        <v>1</v>
      </c>
      <c r="K110" s="461">
        <f>455/461</f>
        <v>0.98698481561822127</v>
      </c>
      <c r="L110" s="461">
        <f>456/461</f>
        <v>0.98915401301518435</v>
      </c>
      <c r="M110" s="461">
        <f>455/461</f>
        <v>0.98698481561822127</v>
      </c>
      <c r="N110" s="461">
        <f>454/461</f>
        <v>0.98481561822125818</v>
      </c>
      <c r="O110" s="461">
        <f>456/461</f>
        <v>0.98915401301518435</v>
      </c>
      <c r="P110" s="461">
        <f>454/461</f>
        <v>0.98481561822125818</v>
      </c>
      <c r="Q110" s="6">
        <f t="shared" si="16"/>
        <v>0.99349240780911074</v>
      </c>
      <c r="R110" s="24"/>
      <c r="S110" s="24"/>
      <c r="U110" s="70"/>
      <c r="V110" s="70">
        <v>1</v>
      </c>
    </row>
    <row r="111" spans="1:24" ht="30.75" customHeight="1" x14ac:dyDescent="0.2">
      <c r="A111" s="1740"/>
      <c r="B111" s="1757"/>
      <c r="C111" s="1795"/>
      <c r="D111" s="182" t="s">
        <v>60</v>
      </c>
      <c r="E111" s="1777">
        <f>AVERAGE(E110:J110)</f>
        <v>1</v>
      </c>
      <c r="F111" s="1778"/>
      <c r="G111" s="1778"/>
      <c r="H111" s="1778"/>
      <c r="I111" s="1778"/>
      <c r="J111" s="1779"/>
      <c r="K111" s="1777">
        <f>AVERAGE(K110:P110)</f>
        <v>0.98698481561822138</v>
      </c>
      <c r="L111" s="1778"/>
      <c r="M111" s="1778"/>
      <c r="N111" s="1778"/>
      <c r="O111" s="1778"/>
      <c r="P111" s="1779"/>
      <c r="Q111" s="11"/>
      <c r="R111" s="24"/>
      <c r="S111" s="24"/>
      <c r="U111" s="70"/>
      <c r="V111" s="70"/>
    </row>
    <row r="112" spans="1:24" ht="57.75" customHeight="1" x14ac:dyDescent="0.2">
      <c r="A112" s="1740"/>
      <c r="B112" s="1756" t="s">
        <v>1185</v>
      </c>
      <c r="C112" s="1795" t="s">
        <v>385</v>
      </c>
      <c r="D112" s="182">
        <v>0.97</v>
      </c>
      <c r="E112" s="461">
        <f t="shared" si="17"/>
        <v>1</v>
      </c>
      <c r="F112" s="461">
        <f t="shared" si="17"/>
        <v>1</v>
      </c>
      <c r="G112" s="461">
        <f t="shared" si="17"/>
        <v>1</v>
      </c>
      <c r="H112" s="461">
        <f t="shared" si="17"/>
        <v>1</v>
      </c>
      <c r="I112" s="461">
        <f t="shared" si="17"/>
        <v>1</v>
      </c>
      <c r="J112" s="461">
        <f>461/461</f>
        <v>1</v>
      </c>
      <c r="K112" s="461">
        <f>455/461</f>
        <v>0.98698481561822127</v>
      </c>
      <c r="L112" s="461">
        <f>456/461</f>
        <v>0.98915401301518435</v>
      </c>
      <c r="M112" s="461">
        <f>454/461</f>
        <v>0.98481561822125818</v>
      </c>
      <c r="N112" s="461">
        <f>452/461</f>
        <v>0.9804772234273319</v>
      </c>
      <c r="O112" s="461">
        <f>455/461</f>
        <v>0.98698481561822127</v>
      </c>
      <c r="P112" s="461">
        <f>456/461</f>
        <v>0.98915401301518435</v>
      </c>
      <c r="Q112" s="6">
        <f t="shared" si="16"/>
        <v>0.99313087490961693</v>
      </c>
      <c r="R112" s="24"/>
      <c r="S112" s="24"/>
      <c r="U112" s="70"/>
      <c r="V112" s="70">
        <v>1</v>
      </c>
      <c r="X112" s="811" t="s">
        <v>735</v>
      </c>
    </row>
    <row r="113" spans="1:22" ht="30" customHeight="1" thickBot="1" x14ac:dyDescent="0.25">
      <c r="A113" s="1741"/>
      <c r="B113" s="1758"/>
      <c r="C113" s="1796"/>
      <c r="D113" s="186" t="s">
        <v>60</v>
      </c>
      <c r="E113" s="1777">
        <f>AVERAGE(E112:J112)</f>
        <v>1</v>
      </c>
      <c r="F113" s="1778"/>
      <c r="G113" s="1778"/>
      <c r="H113" s="1778"/>
      <c r="I113" s="1778"/>
      <c r="J113" s="1779"/>
      <c r="K113" s="1777">
        <f>AVERAGE(K112:P112)</f>
        <v>0.98626174981923354</v>
      </c>
      <c r="L113" s="1778"/>
      <c r="M113" s="1778"/>
      <c r="N113" s="1778"/>
      <c r="O113" s="1778"/>
      <c r="P113" s="1779"/>
      <c r="Q113" s="194"/>
      <c r="R113" s="24"/>
      <c r="S113" s="24"/>
      <c r="U113" s="70"/>
      <c r="V113" s="70"/>
    </row>
    <row r="114" spans="1:22" ht="24" hidden="1" customHeight="1" thickBot="1" x14ac:dyDescent="0.25">
      <c r="A114" s="1742" t="s">
        <v>64</v>
      </c>
      <c r="B114" s="142" t="s">
        <v>58</v>
      </c>
      <c r="C114" s="270"/>
      <c r="D114" s="27"/>
      <c r="E114" s="1907"/>
      <c r="F114" s="1908"/>
      <c r="G114" s="1908"/>
      <c r="H114" s="1908"/>
      <c r="I114" s="1908"/>
      <c r="J114" s="1909"/>
      <c r="K114" s="1786"/>
      <c r="L114" s="1787"/>
      <c r="M114" s="1787"/>
      <c r="N114" s="1787"/>
      <c r="O114" s="1787"/>
      <c r="P114" s="1788"/>
      <c r="Q114" s="184">
        <f t="shared" si="15"/>
        <v>0</v>
      </c>
      <c r="R114" s="26"/>
      <c r="S114" s="27"/>
      <c r="T114" s="28"/>
      <c r="U114" s="71"/>
      <c r="V114" s="72"/>
    </row>
    <row r="115" spans="1:22" ht="24" hidden="1" customHeight="1" thickBot="1" x14ac:dyDescent="0.25">
      <c r="A115" s="1743"/>
      <c r="B115" s="140" t="s">
        <v>31</v>
      </c>
      <c r="C115" s="201"/>
      <c r="D115" s="8"/>
      <c r="E115" s="1789"/>
      <c r="F115" s="1790"/>
      <c r="G115" s="1790"/>
      <c r="H115" s="1790"/>
      <c r="I115" s="1790"/>
      <c r="J115" s="1791"/>
      <c r="K115" s="1792"/>
      <c r="L115" s="1793"/>
      <c r="M115" s="1793"/>
      <c r="N115" s="1793"/>
      <c r="O115" s="1793"/>
      <c r="P115" s="1794"/>
      <c r="Q115" s="15">
        <f t="shared" si="15"/>
        <v>0</v>
      </c>
      <c r="R115" s="7"/>
      <c r="S115" s="8"/>
      <c r="T115" s="9"/>
      <c r="U115" s="67"/>
      <c r="V115" s="67"/>
    </row>
    <row r="116" spans="1:22" ht="24" hidden="1" customHeight="1" thickBot="1" x14ac:dyDescent="0.25">
      <c r="A116" s="1743"/>
      <c r="B116" s="140" t="s">
        <v>32</v>
      </c>
      <c r="C116" s="201"/>
      <c r="D116" s="8"/>
      <c r="E116" s="1789"/>
      <c r="F116" s="1790"/>
      <c r="G116" s="1790"/>
      <c r="H116" s="1790"/>
      <c r="I116" s="1790"/>
      <c r="J116" s="1791"/>
      <c r="K116" s="1792"/>
      <c r="L116" s="1793"/>
      <c r="M116" s="1793"/>
      <c r="N116" s="1793"/>
      <c r="O116" s="1793"/>
      <c r="P116" s="1794"/>
      <c r="Q116" s="15">
        <f t="shared" si="15"/>
        <v>0</v>
      </c>
      <c r="R116" s="7"/>
      <c r="S116" s="8"/>
      <c r="T116" s="9"/>
      <c r="U116" s="67"/>
      <c r="V116" s="67"/>
    </row>
    <row r="117" spans="1:22" ht="33" hidden="1" customHeight="1" thickBot="1" x14ac:dyDescent="0.25">
      <c r="A117" s="1744"/>
      <c r="B117" s="1250" t="s">
        <v>33</v>
      </c>
      <c r="C117" s="1252"/>
      <c r="D117" s="368"/>
      <c r="E117" s="1913"/>
      <c r="F117" s="1914"/>
      <c r="G117" s="1914"/>
      <c r="H117" s="1914"/>
      <c r="I117" s="1914"/>
      <c r="J117" s="1915"/>
      <c r="K117" s="1910"/>
      <c r="L117" s="1911"/>
      <c r="M117" s="1911"/>
      <c r="N117" s="1911"/>
      <c r="O117" s="1911"/>
      <c r="P117" s="1912"/>
      <c r="Q117" s="183">
        <f t="shared" si="15"/>
        <v>0</v>
      </c>
      <c r="R117" s="367"/>
      <c r="S117" s="368"/>
      <c r="T117" s="369"/>
      <c r="U117" s="370"/>
      <c r="V117" s="370"/>
    </row>
    <row r="118" spans="1:22" ht="79.5" customHeight="1" x14ac:dyDescent="0.2">
      <c r="A118" s="1931" t="s">
        <v>65</v>
      </c>
      <c r="B118" s="1253" t="s">
        <v>1037</v>
      </c>
      <c r="C118" s="1254" t="s">
        <v>386</v>
      </c>
      <c r="D118" s="1286">
        <v>1</v>
      </c>
      <c r="E118" s="1775">
        <f>306/316</f>
        <v>0.96835443037974689</v>
      </c>
      <c r="F118" s="1776"/>
      <c r="G118" s="1776"/>
      <c r="H118" s="1776"/>
      <c r="I118" s="1776"/>
      <c r="J118" s="1776"/>
      <c r="K118" s="1775">
        <f>301/305</f>
        <v>0.9868852459016394</v>
      </c>
      <c r="L118" s="1776"/>
      <c r="M118" s="1776"/>
      <c r="N118" s="1776"/>
      <c r="O118" s="1776"/>
      <c r="P118" s="1776"/>
      <c r="Q118" s="1276">
        <f t="shared" ref="Q118:Q120" si="18">IF(AND((E118=0),(K118=0)),"ND",AVERAGE(E118:P118))</f>
        <v>0.97761983814069309</v>
      </c>
      <c r="R118" s="16"/>
      <c r="S118" s="1277"/>
      <c r="T118" s="1278"/>
      <c r="U118" s="1279">
        <v>1</v>
      </c>
      <c r="V118" s="1280">
        <v>1</v>
      </c>
    </row>
    <row r="119" spans="1:22" ht="47.25" customHeight="1" x14ac:dyDescent="0.2">
      <c r="A119" s="1932"/>
      <c r="B119" s="711" t="s">
        <v>1038</v>
      </c>
      <c r="C119" s="1251" t="s">
        <v>387</v>
      </c>
      <c r="D119" s="1287">
        <v>0.9</v>
      </c>
      <c r="E119" s="1713">
        <f>14/17</f>
        <v>0.82352941176470584</v>
      </c>
      <c r="F119" s="1713"/>
      <c r="G119" s="1713"/>
      <c r="H119" s="1713"/>
      <c r="I119" s="1713"/>
      <c r="J119" s="1713"/>
      <c r="K119" s="1713"/>
      <c r="L119" s="1713"/>
      <c r="M119" s="1713"/>
      <c r="N119" s="1713"/>
      <c r="O119" s="1713"/>
      <c r="P119" s="1713"/>
      <c r="Q119" s="1275">
        <f t="shared" si="18"/>
        <v>0.82352941176470584</v>
      </c>
      <c r="R119" s="315"/>
      <c r="S119" s="463"/>
      <c r="T119" s="316"/>
      <c r="U119" s="317"/>
      <c r="V119" s="1281">
        <v>1</v>
      </c>
    </row>
    <row r="120" spans="1:22" ht="63.75" customHeight="1" x14ac:dyDescent="0.2">
      <c r="A120" s="1932"/>
      <c r="B120" s="711" t="s">
        <v>1039</v>
      </c>
      <c r="C120" s="1251" t="s">
        <v>388</v>
      </c>
      <c r="D120" s="1288">
        <v>0.9</v>
      </c>
      <c r="E120" s="1713">
        <f>310/310</f>
        <v>1</v>
      </c>
      <c r="F120" s="1714"/>
      <c r="G120" s="1714"/>
      <c r="H120" s="1714"/>
      <c r="I120" s="1714"/>
      <c r="J120" s="1714"/>
      <c r="K120" s="1713">
        <f>305/305</f>
        <v>1</v>
      </c>
      <c r="L120" s="1714"/>
      <c r="M120" s="1714"/>
      <c r="N120" s="1714"/>
      <c r="O120" s="1714"/>
      <c r="P120" s="1714"/>
      <c r="Q120" s="1275">
        <f t="shared" si="18"/>
        <v>1</v>
      </c>
      <c r="R120" s="315"/>
      <c r="S120" s="463"/>
      <c r="T120" s="316"/>
      <c r="U120" s="317"/>
      <c r="V120" s="1281">
        <v>1</v>
      </c>
    </row>
    <row r="121" spans="1:22" ht="45" customHeight="1" x14ac:dyDescent="0.2">
      <c r="A121" s="1932"/>
      <c r="B121" s="1267" t="s">
        <v>1278</v>
      </c>
      <c r="C121" s="1251"/>
      <c r="D121" s="315"/>
      <c r="E121" s="1289"/>
      <c r="F121" s="1289"/>
      <c r="G121" s="1289"/>
      <c r="H121" s="1289"/>
      <c r="I121" s="1289"/>
      <c r="J121" s="1289"/>
      <c r="K121" s="1289"/>
      <c r="L121" s="1289"/>
      <c r="M121" s="1289"/>
      <c r="N121" s="1289"/>
      <c r="O121" s="1289"/>
      <c r="P121" s="1289"/>
      <c r="Q121" s="315">
        <f t="shared" si="15"/>
        <v>0</v>
      </c>
      <c r="R121" s="315"/>
      <c r="S121" s="315"/>
      <c r="T121" s="316"/>
      <c r="U121" s="317"/>
      <c r="V121" s="1281"/>
    </row>
    <row r="122" spans="1:22" ht="60" customHeight="1" x14ac:dyDescent="0.2">
      <c r="A122" s="1932"/>
      <c r="B122" s="1267" t="s">
        <v>1279</v>
      </c>
      <c r="C122" s="1251"/>
      <c r="D122" s="315"/>
      <c r="E122" s="1289"/>
      <c r="F122" s="1289"/>
      <c r="G122" s="1289"/>
      <c r="H122" s="1289"/>
      <c r="I122" s="1289"/>
      <c r="J122" s="1289"/>
      <c r="K122" s="1289"/>
      <c r="L122" s="1289"/>
      <c r="M122" s="1289"/>
      <c r="N122" s="1289"/>
      <c r="O122" s="1289"/>
      <c r="P122" s="1289"/>
      <c r="Q122" s="315">
        <f t="shared" si="15"/>
        <v>0</v>
      </c>
      <c r="R122" s="315"/>
      <c r="S122" s="315"/>
      <c r="T122" s="316"/>
      <c r="U122" s="317"/>
      <c r="V122" s="1281"/>
    </row>
    <row r="123" spans="1:22" ht="57" customHeight="1" x14ac:dyDescent="0.2">
      <c r="A123" s="1932"/>
      <c r="B123" s="1267" t="s">
        <v>1280</v>
      </c>
      <c r="C123" s="1251"/>
      <c r="D123" s="315"/>
      <c r="E123" s="1289"/>
      <c r="F123" s="1289"/>
      <c r="G123" s="1289"/>
      <c r="H123" s="1289"/>
      <c r="I123" s="1289"/>
      <c r="J123" s="1289"/>
      <c r="K123" s="1289"/>
      <c r="L123" s="1289"/>
      <c r="M123" s="1289"/>
      <c r="N123" s="1289"/>
      <c r="O123" s="1289"/>
      <c r="P123" s="1289"/>
      <c r="Q123" s="315">
        <f t="shared" si="15"/>
        <v>0</v>
      </c>
      <c r="R123" s="315"/>
      <c r="S123" s="315"/>
      <c r="T123" s="316"/>
      <c r="U123" s="317"/>
      <c r="V123" s="1281"/>
    </row>
    <row r="124" spans="1:22" ht="63" customHeight="1" x14ac:dyDescent="0.2">
      <c r="A124" s="1932"/>
      <c r="B124" s="1267" t="s">
        <v>1281</v>
      </c>
      <c r="C124" s="1251"/>
      <c r="D124" s="315"/>
      <c r="E124" s="1289"/>
      <c r="F124" s="1289"/>
      <c r="G124" s="1289"/>
      <c r="H124" s="1289"/>
      <c r="I124" s="1289"/>
      <c r="J124" s="1289"/>
      <c r="K124" s="1289"/>
      <c r="L124" s="1289"/>
      <c r="M124" s="1289"/>
      <c r="N124" s="1289"/>
      <c r="O124" s="1289"/>
      <c r="P124" s="1289"/>
      <c r="Q124" s="315">
        <f t="shared" si="15"/>
        <v>0</v>
      </c>
      <c r="R124" s="315"/>
      <c r="S124" s="315"/>
      <c r="T124" s="316"/>
      <c r="U124" s="317"/>
      <c r="V124" s="1281"/>
    </row>
    <row r="125" spans="1:22" ht="53.25" customHeight="1" x14ac:dyDescent="0.2">
      <c r="A125" s="1932"/>
      <c r="B125" s="1267" t="s">
        <v>1282</v>
      </c>
      <c r="C125" s="1251"/>
      <c r="D125" s="315"/>
      <c r="E125" s="1289"/>
      <c r="F125" s="1289"/>
      <c r="G125" s="1289"/>
      <c r="H125" s="1289"/>
      <c r="I125" s="1289"/>
      <c r="J125" s="1289"/>
      <c r="K125" s="1289"/>
      <c r="L125" s="1289"/>
      <c r="M125" s="1289"/>
      <c r="N125" s="1289"/>
      <c r="O125" s="1289"/>
      <c r="P125" s="1289"/>
      <c r="Q125" s="315">
        <f t="shared" si="15"/>
        <v>0</v>
      </c>
      <c r="R125" s="315"/>
      <c r="S125" s="315"/>
      <c r="T125" s="316"/>
      <c r="U125" s="317"/>
      <c r="V125" s="1281"/>
    </row>
    <row r="126" spans="1:22" ht="38.25" customHeight="1" x14ac:dyDescent="0.2">
      <c r="A126" s="1932"/>
      <c r="B126" s="1267" t="s">
        <v>1283</v>
      </c>
      <c r="C126" s="1251"/>
      <c r="D126" s="315"/>
      <c r="E126" s="1289"/>
      <c r="F126" s="1289"/>
      <c r="G126" s="1289"/>
      <c r="H126" s="1289"/>
      <c r="I126" s="1289"/>
      <c r="J126" s="1289"/>
      <c r="K126" s="1289"/>
      <c r="L126" s="1289"/>
      <c r="M126" s="1289"/>
      <c r="N126" s="1289"/>
      <c r="O126" s="1289"/>
      <c r="P126" s="1289"/>
      <c r="Q126" s="315">
        <f t="shared" si="15"/>
        <v>0</v>
      </c>
      <c r="R126" s="315"/>
      <c r="S126" s="315"/>
      <c r="T126" s="316"/>
      <c r="U126" s="317"/>
      <c r="V126" s="1281"/>
    </row>
    <row r="127" spans="1:22" ht="38.25" customHeight="1" x14ac:dyDescent="0.2">
      <c r="A127" s="1932"/>
      <c r="B127" s="1267" t="s">
        <v>1284</v>
      </c>
      <c r="C127" s="1251"/>
      <c r="D127" s="315"/>
      <c r="E127" s="1289"/>
      <c r="F127" s="1289"/>
      <c r="G127" s="1289"/>
      <c r="H127" s="1289"/>
      <c r="I127" s="1289"/>
      <c r="J127" s="1289"/>
      <c r="K127" s="1289"/>
      <c r="L127" s="1289"/>
      <c r="M127" s="1289"/>
      <c r="N127" s="1289"/>
      <c r="O127" s="1289"/>
      <c r="P127" s="1289"/>
      <c r="Q127" s="315">
        <f t="shared" si="15"/>
        <v>0</v>
      </c>
      <c r="R127" s="315"/>
      <c r="S127" s="315"/>
      <c r="T127" s="316"/>
      <c r="U127" s="317"/>
      <c r="V127" s="1281"/>
    </row>
    <row r="128" spans="1:22" ht="38.25" customHeight="1" x14ac:dyDescent="0.2">
      <c r="A128" s="1932"/>
      <c r="B128" s="1267" t="s">
        <v>1285</v>
      </c>
      <c r="C128" s="1251"/>
      <c r="D128" s="315"/>
      <c r="E128" s="1289"/>
      <c r="F128" s="1289"/>
      <c r="G128" s="1289"/>
      <c r="H128" s="1289"/>
      <c r="I128" s="1289"/>
      <c r="J128" s="1289"/>
      <c r="K128" s="1289"/>
      <c r="L128" s="1289"/>
      <c r="M128" s="1289"/>
      <c r="N128" s="1289"/>
      <c r="O128" s="1289"/>
      <c r="P128" s="1289"/>
      <c r="Q128" s="315">
        <f t="shared" si="15"/>
        <v>0</v>
      </c>
      <c r="R128" s="315"/>
      <c r="S128" s="315"/>
      <c r="T128" s="316"/>
      <c r="U128" s="317"/>
      <c r="V128" s="1281"/>
    </row>
    <row r="129" spans="1:29" ht="53.25" customHeight="1" thickBot="1" x14ac:dyDescent="0.25">
      <c r="A129" s="1933"/>
      <c r="B129" s="1282" t="s">
        <v>1286</v>
      </c>
      <c r="C129" s="202"/>
      <c r="D129" s="17"/>
      <c r="E129" s="1289"/>
      <c r="F129" s="1289"/>
      <c r="G129" s="1289"/>
      <c r="H129" s="1289"/>
      <c r="I129" s="1289"/>
      <c r="J129" s="1289"/>
      <c r="K129" s="1289"/>
      <c r="L129" s="1289"/>
      <c r="M129" s="1289"/>
      <c r="N129" s="1289"/>
      <c r="O129" s="1289"/>
      <c r="P129" s="1289"/>
      <c r="Q129" s="17">
        <f t="shared" ref="Q129" si="19">SUM(E129:P129)</f>
        <v>0</v>
      </c>
      <c r="R129" s="17"/>
      <c r="S129" s="17"/>
      <c r="T129" s="1283"/>
      <c r="U129" s="1284"/>
      <c r="V129" s="1285"/>
    </row>
    <row r="130" spans="1:29" ht="63.75" customHeight="1" x14ac:dyDescent="0.2">
      <c r="A130" s="1734" t="s">
        <v>467</v>
      </c>
      <c r="B130" s="1268" t="s">
        <v>978</v>
      </c>
      <c r="C130" s="465" t="s">
        <v>414</v>
      </c>
      <c r="D130" s="1269">
        <v>0.7</v>
      </c>
      <c r="E130" s="1869">
        <f>27/31</f>
        <v>0.87096774193548387</v>
      </c>
      <c r="F130" s="1869"/>
      <c r="G130" s="1869"/>
      <c r="H130" s="1869"/>
      <c r="I130" s="1869"/>
      <c r="J130" s="1869"/>
      <c r="K130" s="1869"/>
      <c r="L130" s="1869"/>
      <c r="M130" s="1869"/>
      <c r="N130" s="1869"/>
      <c r="O130" s="1869"/>
      <c r="P130" s="1869"/>
      <c r="Q130" s="1270">
        <f t="shared" ref="Q130:Q167" si="20">IF(AND((E130=0),(K130=0)),"ND",AVERAGE(E130:P130))</f>
        <v>0.87096774193548387</v>
      </c>
      <c r="R130" s="1271"/>
      <c r="S130" s="1272"/>
      <c r="T130" s="1273"/>
      <c r="U130" s="1274">
        <v>1</v>
      </c>
      <c r="V130" s="1274">
        <v>1</v>
      </c>
      <c r="W130" s="1736"/>
    </row>
    <row r="131" spans="1:29" ht="66.75" customHeight="1" x14ac:dyDescent="0.2">
      <c r="A131" s="1734"/>
      <c r="B131" s="1872" t="s">
        <v>979</v>
      </c>
      <c r="C131" s="1874" t="s">
        <v>416</v>
      </c>
      <c r="D131" s="707">
        <v>0.8</v>
      </c>
      <c r="E131" s="461">
        <f>4/4</f>
        <v>1</v>
      </c>
      <c r="F131" s="461">
        <f>5/5</f>
        <v>1</v>
      </c>
      <c r="G131" s="461">
        <f>19/19</f>
        <v>1</v>
      </c>
      <c r="H131" s="461">
        <f>12/12</f>
        <v>1</v>
      </c>
      <c r="I131" s="461">
        <f>11/11</f>
        <v>1</v>
      </c>
      <c r="J131" s="461">
        <f>17/17</f>
        <v>1</v>
      </c>
      <c r="K131" s="461">
        <f>15/15</f>
        <v>1</v>
      </c>
      <c r="L131" s="461">
        <f>16/16</f>
        <v>1</v>
      </c>
      <c r="M131" s="461">
        <f>38/38</f>
        <v>1</v>
      </c>
      <c r="N131" s="461">
        <f>15/15</f>
        <v>1</v>
      </c>
      <c r="O131" s="461">
        <f>26/26</f>
        <v>1</v>
      </c>
      <c r="P131" s="461">
        <f>6/6</f>
        <v>1</v>
      </c>
      <c r="Q131" s="6">
        <f t="shared" si="20"/>
        <v>1</v>
      </c>
      <c r="R131" s="7"/>
      <c r="S131" s="10"/>
      <c r="T131" s="9"/>
      <c r="U131" s="67"/>
      <c r="V131" s="67">
        <v>1</v>
      </c>
      <c r="W131" s="1737"/>
    </row>
    <row r="132" spans="1:29" ht="15.75" x14ac:dyDescent="0.2">
      <c r="A132" s="1734"/>
      <c r="B132" s="1873"/>
      <c r="C132" s="1875"/>
      <c r="D132" s="462" t="s">
        <v>60</v>
      </c>
      <c r="E132" s="1777">
        <f>AVERAGE(E131:J131)</f>
        <v>1</v>
      </c>
      <c r="F132" s="1778"/>
      <c r="G132" s="1778"/>
      <c r="H132" s="1778"/>
      <c r="I132" s="1778"/>
      <c r="J132" s="1779"/>
      <c r="K132" s="1777">
        <f>AVERAGE(K131:P131)</f>
        <v>1</v>
      </c>
      <c r="L132" s="1778"/>
      <c r="M132" s="1778"/>
      <c r="N132" s="1778"/>
      <c r="O132" s="1778"/>
      <c r="P132" s="1779"/>
      <c r="Q132" s="779"/>
      <c r="R132" s="24"/>
      <c r="U132" s="29"/>
      <c r="V132" s="29"/>
      <c r="W132" s="1737"/>
    </row>
    <row r="133" spans="1:29" ht="55.5" customHeight="1" x14ac:dyDescent="0.35">
      <c r="A133" s="1734"/>
      <c r="B133" s="556" t="s">
        <v>980</v>
      </c>
      <c r="C133" s="464" t="s">
        <v>712</v>
      </c>
      <c r="D133" s="462">
        <v>1</v>
      </c>
      <c r="E133" s="1854">
        <f>329/329</f>
        <v>1</v>
      </c>
      <c r="F133" s="1855"/>
      <c r="G133" s="1855"/>
      <c r="H133" s="1855"/>
      <c r="I133" s="1855"/>
      <c r="J133" s="1855"/>
      <c r="K133" s="1732">
        <f>340/340</f>
        <v>1</v>
      </c>
      <c r="L133" s="1733"/>
      <c r="M133" s="1733"/>
      <c r="N133" s="1733"/>
      <c r="O133" s="1733"/>
      <c r="P133" s="1733"/>
      <c r="Q133" s="6">
        <f t="shared" si="20"/>
        <v>1</v>
      </c>
      <c r="R133" s="24"/>
      <c r="U133" s="29"/>
      <c r="V133" s="29">
        <v>1</v>
      </c>
      <c r="W133" s="1737"/>
    </row>
    <row r="134" spans="1:29" ht="72" customHeight="1" x14ac:dyDescent="0.35">
      <c r="A134" s="1898" t="s">
        <v>447</v>
      </c>
      <c r="B134" s="1901" t="s">
        <v>1012</v>
      </c>
      <c r="C134" s="366" t="s">
        <v>1291</v>
      </c>
      <c r="D134" s="1904">
        <v>0.7</v>
      </c>
      <c r="E134" s="1730">
        <f>41/49</f>
        <v>0.83673469387755106</v>
      </c>
      <c r="F134" s="1731"/>
      <c r="G134" s="1731"/>
      <c r="H134" s="1731"/>
      <c r="I134" s="1731"/>
      <c r="J134" s="1731"/>
      <c r="K134" s="1732">
        <f>46/54</f>
        <v>0.85185185185185186</v>
      </c>
      <c r="L134" s="1733"/>
      <c r="M134" s="1733"/>
      <c r="N134" s="1733"/>
      <c r="O134" s="1733"/>
      <c r="P134" s="1733"/>
      <c r="Q134" s="6">
        <f t="shared" si="20"/>
        <v>0.84429327286470146</v>
      </c>
      <c r="R134" s="7"/>
      <c r="S134" s="10"/>
      <c r="T134" s="9"/>
      <c r="U134" s="67">
        <v>1</v>
      </c>
      <c r="V134" s="1928">
        <v>1</v>
      </c>
    </row>
    <row r="135" spans="1:29" ht="72" customHeight="1" x14ac:dyDescent="0.35">
      <c r="A135" s="1899"/>
      <c r="B135" s="1902"/>
      <c r="C135" s="366" t="s">
        <v>1292</v>
      </c>
      <c r="D135" s="1905"/>
      <c r="E135" s="1732">
        <f>30/38</f>
        <v>0.78947368421052633</v>
      </c>
      <c r="F135" s="1733"/>
      <c r="G135" s="1733"/>
      <c r="H135" s="1733"/>
      <c r="I135" s="1733"/>
      <c r="J135" s="1733"/>
      <c r="K135" s="1732">
        <f>29/38</f>
        <v>0.76315789473684215</v>
      </c>
      <c r="L135" s="1733"/>
      <c r="M135" s="1733"/>
      <c r="N135" s="1733"/>
      <c r="O135" s="1733"/>
      <c r="P135" s="1733"/>
      <c r="Q135" s="6">
        <f t="shared" si="20"/>
        <v>0.77631578947368429</v>
      </c>
      <c r="R135" s="314"/>
      <c r="S135" s="463"/>
      <c r="T135" s="316"/>
      <c r="U135" s="317"/>
      <c r="V135" s="1929"/>
    </row>
    <row r="136" spans="1:29" ht="72" customHeight="1" x14ac:dyDescent="0.35">
      <c r="A136" s="1899"/>
      <c r="B136" s="1902"/>
      <c r="C136" s="366" t="s">
        <v>1293</v>
      </c>
      <c r="D136" s="1905"/>
      <c r="E136" s="1854">
        <v>0.7702</v>
      </c>
      <c r="F136" s="1855"/>
      <c r="G136" s="1855"/>
      <c r="H136" s="1855"/>
      <c r="I136" s="1855"/>
      <c r="J136" s="1855"/>
      <c r="K136" s="1854">
        <f>72/100</f>
        <v>0.72</v>
      </c>
      <c r="L136" s="1855"/>
      <c r="M136" s="1855"/>
      <c r="N136" s="1855"/>
      <c r="O136" s="1855"/>
      <c r="P136" s="1855"/>
      <c r="Q136" s="6">
        <f t="shared" si="20"/>
        <v>0.74509999999999998</v>
      </c>
      <c r="R136" s="314"/>
      <c r="S136" s="463"/>
      <c r="T136" s="316"/>
      <c r="U136" s="317"/>
      <c r="V136" s="1929"/>
      <c r="X136" s="811" t="s">
        <v>735</v>
      </c>
    </row>
    <row r="137" spans="1:29" ht="72" customHeight="1" x14ac:dyDescent="0.35">
      <c r="A137" s="1899"/>
      <c r="B137" s="1903"/>
      <c r="C137" s="366" t="s">
        <v>1294</v>
      </c>
      <c r="D137" s="1906"/>
      <c r="E137" s="1856">
        <f>48/61</f>
        <v>0.78688524590163933</v>
      </c>
      <c r="F137" s="1857"/>
      <c r="G137" s="1857"/>
      <c r="H137" s="1857"/>
      <c r="I137" s="1857"/>
      <c r="J137" s="1857"/>
      <c r="K137" s="1856">
        <f>46/59</f>
        <v>0.77966101694915257</v>
      </c>
      <c r="L137" s="1857"/>
      <c r="M137" s="1857"/>
      <c r="N137" s="1857"/>
      <c r="O137" s="1857"/>
      <c r="P137" s="1857"/>
      <c r="Q137" s="6">
        <f t="shared" si="20"/>
        <v>0.78327313142539601</v>
      </c>
      <c r="R137" s="314"/>
      <c r="S137" s="463"/>
      <c r="T137" s="316"/>
      <c r="U137" s="317"/>
      <c r="V137" s="1930"/>
      <c r="W137" s="781">
        <v>1</v>
      </c>
      <c r="X137" s="811" t="s">
        <v>735</v>
      </c>
    </row>
    <row r="138" spans="1:29" ht="70.5" customHeight="1" x14ac:dyDescent="0.2">
      <c r="A138" s="1899"/>
      <c r="B138" s="395" t="s">
        <v>1186</v>
      </c>
      <c r="C138" s="366" t="s">
        <v>451</v>
      </c>
      <c r="D138" s="467">
        <v>1</v>
      </c>
      <c r="E138" s="1735">
        <f>3/3</f>
        <v>1</v>
      </c>
      <c r="F138" s="1735"/>
      <c r="G138" s="1735"/>
      <c r="H138" s="1735"/>
      <c r="I138" s="1735"/>
      <c r="J138" s="1735"/>
      <c r="K138" s="1735"/>
      <c r="L138" s="1735"/>
      <c r="M138" s="1735"/>
      <c r="N138" s="1735"/>
      <c r="O138" s="1735"/>
      <c r="P138" s="1735"/>
      <c r="Q138" s="6">
        <f t="shared" si="20"/>
        <v>1</v>
      </c>
      <c r="R138" s="7"/>
      <c r="S138" s="10"/>
      <c r="T138" s="9"/>
      <c r="U138" s="67"/>
      <c r="V138" s="67">
        <v>1</v>
      </c>
      <c r="X138" s="1729" t="s">
        <v>743</v>
      </c>
      <c r="Y138" s="1728" t="s">
        <v>718</v>
      </c>
      <c r="Z138" s="1728"/>
      <c r="AB138" s="1728" t="s">
        <v>719</v>
      </c>
      <c r="AC138" s="1728"/>
    </row>
    <row r="139" spans="1:29" ht="66" customHeight="1" x14ac:dyDescent="0.2">
      <c r="A139" s="1899"/>
      <c r="B139" s="429" t="s">
        <v>1187</v>
      </c>
      <c r="C139" s="366" t="s">
        <v>452</v>
      </c>
      <c r="D139" s="841">
        <v>0.9</v>
      </c>
      <c r="E139" s="1735">
        <f>6/6</f>
        <v>1</v>
      </c>
      <c r="F139" s="1735"/>
      <c r="G139" s="1735"/>
      <c r="H139" s="1735"/>
      <c r="I139" s="1735"/>
      <c r="J139" s="1735"/>
      <c r="K139" s="1735"/>
      <c r="L139" s="1735"/>
      <c r="M139" s="1735"/>
      <c r="N139" s="1735"/>
      <c r="O139" s="1735"/>
      <c r="P139" s="1735"/>
      <c r="Q139" s="6">
        <f t="shared" si="20"/>
        <v>1</v>
      </c>
      <c r="R139" s="7"/>
      <c r="S139" s="10"/>
      <c r="T139" s="9"/>
      <c r="U139" s="67"/>
      <c r="V139" s="67">
        <v>1</v>
      </c>
      <c r="X139" s="1729"/>
      <c r="Y139" s="564" t="s">
        <v>744</v>
      </c>
      <c r="Z139" s="564" t="s">
        <v>745</v>
      </c>
      <c r="AB139" s="563" t="s">
        <v>744</v>
      </c>
      <c r="AC139" s="564" t="s">
        <v>745</v>
      </c>
    </row>
    <row r="140" spans="1:29" ht="39.75" customHeight="1" x14ac:dyDescent="0.2">
      <c r="A140" s="1899"/>
      <c r="B140" s="1900" t="s">
        <v>453</v>
      </c>
      <c r="C140" s="366" t="s">
        <v>1015</v>
      </c>
      <c r="D140" s="1862" t="s">
        <v>454</v>
      </c>
      <c r="E140" s="1858">
        <v>4.66</v>
      </c>
      <c r="F140" s="1859"/>
      <c r="G140" s="1859"/>
      <c r="H140" s="1859"/>
      <c r="I140" s="1859"/>
      <c r="J140" s="1860"/>
      <c r="K140" s="1858">
        <v>4.72</v>
      </c>
      <c r="L140" s="1859"/>
      <c r="M140" s="1859"/>
      <c r="N140" s="1859"/>
      <c r="O140" s="1859"/>
      <c r="P140" s="1860"/>
      <c r="Q140" s="6">
        <f t="shared" si="20"/>
        <v>4.6899999999999995</v>
      </c>
      <c r="R140" s="7"/>
      <c r="S140" s="10"/>
      <c r="T140" s="9"/>
      <c r="U140" s="67"/>
      <c r="V140" s="67">
        <v>1</v>
      </c>
      <c r="X140" s="565" t="s">
        <v>739</v>
      </c>
      <c r="Y140" s="561">
        <v>44</v>
      </c>
      <c r="Z140" s="561">
        <v>54</v>
      </c>
      <c r="AA140" s="559"/>
      <c r="AB140" s="561">
        <v>42</v>
      </c>
      <c r="AC140" s="561">
        <v>53</v>
      </c>
    </row>
    <row r="141" spans="1:29" ht="39.75" customHeight="1" x14ac:dyDescent="0.2">
      <c r="A141" s="1899"/>
      <c r="B141" s="1900"/>
      <c r="C141" s="366" t="s">
        <v>1013</v>
      </c>
      <c r="D141" s="1863"/>
      <c r="E141" s="1858">
        <v>4.6100000000000003</v>
      </c>
      <c r="F141" s="1859"/>
      <c r="G141" s="1859"/>
      <c r="H141" s="1859"/>
      <c r="I141" s="1859"/>
      <c r="J141" s="1860"/>
      <c r="K141" s="1858">
        <v>4.63</v>
      </c>
      <c r="L141" s="1859"/>
      <c r="M141" s="1859"/>
      <c r="N141" s="1859"/>
      <c r="O141" s="1859"/>
      <c r="P141" s="1860"/>
      <c r="Q141" s="6">
        <f t="shared" si="20"/>
        <v>4.62</v>
      </c>
      <c r="R141" s="314"/>
      <c r="S141" s="463"/>
      <c r="T141" s="316"/>
      <c r="U141" s="317"/>
      <c r="V141" s="317">
        <v>1</v>
      </c>
      <c r="X141" s="565" t="s">
        <v>740</v>
      </c>
      <c r="Y141" s="561">
        <v>50</v>
      </c>
      <c r="Z141" s="561">
        <v>73</v>
      </c>
      <c r="AA141" s="559"/>
      <c r="AB141" s="561">
        <v>51</v>
      </c>
      <c r="AC141" s="561">
        <v>71</v>
      </c>
    </row>
    <row r="142" spans="1:29" ht="39.75" customHeight="1" x14ac:dyDescent="0.2">
      <c r="A142" s="1899"/>
      <c r="B142" s="1900"/>
      <c r="C142" s="366" t="s">
        <v>1036</v>
      </c>
      <c r="D142" s="1863"/>
      <c r="E142" s="1858">
        <v>4.57</v>
      </c>
      <c r="F142" s="1859"/>
      <c r="G142" s="1859"/>
      <c r="H142" s="1859"/>
      <c r="I142" s="1859"/>
      <c r="J142" s="1860"/>
      <c r="K142" s="1858">
        <v>4.7</v>
      </c>
      <c r="L142" s="1859"/>
      <c r="M142" s="1859"/>
      <c r="N142" s="1859"/>
      <c r="O142" s="1859"/>
      <c r="P142" s="1860"/>
      <c r="Q142" s="6">
        <f t="shared" si="20"/>
        <v>4.6349999999999998</v>
      </c>
      <c r="R142" s="314"/>
      <c r="S142" s="463"/>
      <c r="T142" s="316"/>
      <c r="U142" s="317"/>
      <c r="V142" s="317">
        <v>1</v>
      </c>
      <c r="X142" s="565" t="s">
        <v>741</v>
      </c>
      <c r="Y142" s="561">
        <v>61</v>
      </c>
      <c r="Z142" s="561">
        <v>114</v>
      </c>
      <c r="AA142" s="559"/>
      <c r="AB142" s="561">
        <v>60</v>
      </c>
      <c r="AC142" s="561">
        <v>115</v>
      </c>
    </row>
    <row r="143" spans="1:29" ht="39.75" customHeight="1" x14ac:dyDescent="0.2">
      <c r="A143" s="1899"/>
      <c r="B143" s="1900"/>
      <c r="C143" s="366" t="s">
        <v>1014</v>
      </c>
      <c r="D143" s="1864"/>
      <c r="E143" s="1858">
        <v>4.6100000000000003</v>
      </c>
      <c r="F143" s="1859"/>
      <c r="G143" s="1859"/>
      <c r="H143" s="1859"/>
      <c r="I143" s="1859"/>
      <c r="J143" s="1860"/>
      <c r="K143" s="1858">
        <v>4.68</v>
      </c>
      <c r="L143" s="1859"/>
      <c r="M143" s="1859"/>
      <c r="N143" s="1859"/>
      <c r="O143" s="1859"/>
      <c r="P143" s="1860"/>
      <c r="Q143" s="6">
        <f t="shared" si="20"/>
        <v>4.6449999999999996</v>
      </c>
      <c r="R143" s="314"/>
      <c r="S143" s="463"/>
      <c r="T143" s="316"/>
      <c r="U143" s="317"/>
      <c r="V143" s="317">
        <v>1</v>
      </c>
      <c r="X143" s="565" t="s">
        <v>742</v>
      </c>
      <c r="Y143" s="561">
        <v>45</v>
      </c>
      <c r="Z143" s="561">
        <v>51</v>
      </c>
      <c r="AA143" s="559"/>
      <c r="AB143" s="561">
        <v>44</v>
      </c>
      <c r="AC143" s="561">
        <v>49</v>
      </c>
    </row>
    <row r="144" spans="1:29" ht="57.75" customHeight="1" x14ac:dyDescent="0.2">
      <c r="A144" s="1899"/>
      <c r="B144" s="1865" t="s">
        <v>1019</v>
      </c>
      <c r="C144" s="366" t="s">
        <v>1018</v>
      </c>
      <c r="D144" s="1862">
        <v>0.9</v>
      </c>
      <c r="E144" s="1890">
        <v>1</v>
      </c>
      <c r="F144" s="1890"/>
      <c r="G144" s="1890"/>
      <c r="H144" s="1890"/>
      <c r="I144" s="1890"/>
      <c r="J144" s="1890"/>
      <c r="K144" s="1888">
        <f>14656/14656</f>
        <v>1</v>
      </c>
      <c r="L144" s="1888"/>
      <c r="M144" s="1888"/>
      <c r="N144" s="1888"/>
      <c r="O144" s="1888"/>
      <c r="P144" s="1888"/>
      <c r="Q144" s="6">
        <f t="shared" si="20"/>
        <v>1</v>
      </c>
      <c r="R144" s="7"/>
      <c r="S144" s="10"/>
      <c r="T144" s="9"/>
      <c r="U144" s="67"/>
      <c r="V144" s="1928">
        <v>1</v>
      </c>
      <c r="X144" s="565" t="s">
        <v>117</v>
      </c>
      <c r="Y144" s="562">
        <f>SUM(Y140:Y143)</f>
        <v>200</v>
      </c>
      <c r="Z144" s="562">
        <f>SUM(Z140:Z143)</f>
        <v>292</v>
      </c>
      <c r="AA144" s="560"/>
      <c r="AB144" s="562">
        <f>SUM(AB140:AB143)</f>
        <v>197</v>
      </c>
      <c r="AC144" s="562">
        <f>SUM(AC140:AC143)</f>
        <v>288</v>
      </c>
    </row>
    <row r="145" spans="1:25" ht="61.5" customHeight="1" x14ac:dyDescent="0.2">
      <c r="A145" s="1899"/>
      <c r="B145" s="1865"/>
      <c r="C145" s="366" t="s">
        <v>713</v>
      </c>
      <c r="D145" s="1863"/>
      <c r="E145" s="1889">
        <f>8576/8576</f>
        <v>1</v>
      </c>
      <c r="F145" s="1889"/>
      <c r="G145" s="1889"/>
      <c r="H145" s="1889"/>
      <c r="I145" s="1889"/>
      <c r="J145" s="1889"/>
      <c r="K145" s="1889">
        <f>8576/8576</f>
        <v>1</v>
      </c>
      <c r="L145" s="1889"/>
      <c r="M145" s="1889"/>
      <c r="N145" s="1889"/>
      <c r="O145" s="1889"/>
      <c r="P145" s="1889"/>
      <c r="Q145" s="6">
        <f t="shared" si="20"/>
        <v>1</v>
      </c>
      <c r="R145" s="314"/>
      <c r="S145" s="463"/>
      <c r="T145" s="316"/>
      <c r="U145" s="317"/>
      <c r="V145" s="1929"/>
      <c r="Y145" s="543">
        <f>Y144/Z144</f>
        <v>0.68493150684931503</v>
      </c>
    </row>
    <row r="146" spans="1:25" ht="61.5" customHeight="1" x14ac:dyDescent="0.2">
      <c r="A146" s="1899"/>
      <c r="B146" s="1865"/>
      <c r="C146" s="366" t="s">
        <v>714</v>
      </c>
      <c r="D146" s="1863"/>
      <c r="E146" s="1889">
        <v>1</v>
      </c>
      <c r="F146" s="1889"/>
      <c r="G146" s="1889"/>
      <c r="H146" s="1889"/>
      <c r="I146" s="1889"/>
      <c r="J146" s="1889"/>
      <c r="K146" s="1889">
        <f>6580/6580</f>
        <v>1</v>
      </c>
      <c r="L146" s="1889"/>
      <c r="M146" s="1889"/>
      <c r="N146" s="1889"/>
      <c r="O146" s="1889"/>
      <c r="P146" s="1889"/>
      <c r="Q146" s="6">
        <f t="shared" si="20"/>
        <v>1</v>
      </c>
      <c r="R146" s="314"/>
      <c r="S146" s="463"/>
      <c r="T146" s="316"/>
      <c r="U146" s="317"/>
      <c r="V146" s="1929"/>
    </row>
    <row r="147" spans="1:25" ht="54.75" customHeight="1" x14ac:dyDescent="0.2">
      <c r="A147" s="1899"/>
      <c r="B147" s="1865"/>
      <c r="C147" s="366" t="s">
        <v>715</v>
      </c>
      <c r="D147" s="1864"/>
      <c r="E147" s="1889">
        <f>12640/12640</f>
        <v>1</v>
      </c>
      <c r="F147" s="1889"/>
      <c r="G147" s="1889"/>
      <c r="H147" s="1889"/>
      <c r="I147" s="1889"/>
      <c r="J147" s="1889"/>
      <c r="K147" s="1890">
        <f>12480/12480</f>
        <v>1</v>
      </c>
      <c r="L147" s="1890"/>
      <c r="M147" s="1890"/>
      <c r="N147" s="1890"/>
      <c r="O147" s="1890"/>
      <c r="P147" s="1890"/>
      <c r="Q147" s="6">
        <f t="shared" si="20"/>
        <v>1</v>
      </c>
      <c r="R147" s="314"/>
      <c r="S147" s="463"/>
      <c r="T147" s="316"/>
      <c r="U147" s="317"/>
      <c r="V147" s="1930"/>
    </row>
    <row r="148" spans="1:25" ht="81.75" customHeight="1" x14ac:dyDescent="0.2">
      <c r="A148" s="1861" t="s">
        <v>448</v>
      </c>
      <c r="B148" s="842" t="s">
        <v>1011</v>
      </c>
      <c r="C148" s="465" t="s">
        <v>458</v>
      </c>
      <c r="D148" s="466" t="s">
        <v>626</v>
      </c>
      <c r="E148" s="1869">
        <v>0.125</v>
      </c>
      <c r="F148" s="1869"/>
      <c r="G148" s="1869"/>
      <c r="H148" s="1869"/>
      <c r="I148" s="1869"/>
      <c r="J148" s="1869"/>
      <c r="K148" s="1869"/>
      <c r="L148" s="1869"/>
      <c r="M148" s="1869"/>
      <c r="N148" s="1869"/>
      <c r="O148" s="1869"/>
      <c r="P148" s="1869"/>
      <c r="Q148" s="6">
        <f t="shared" si="20"/>
        <v>0.125</v>
      </c>
      <c r="R148" s="8"/>
      <c r="S148" s="10"/>
      <c r="T148" s="9"/>
      <c r="U148" s="67">
        <v>1</v>
      </c>
      <c r="V148" s="67">
        <v>1</v>
      </c>
      <c r="X148" s="477">
        <f>4.85*4</f>
        <v>19.399999999999999</v>
      </c>
    </row>
    <row r="149" spans="1:25" ht="97.5" customHeight="1" x14ac:dyDescent="0.2">
      <c r="A149" s="1861"/>
      <c r="B149" s="806" t="s">
        <v>1010</v>
      </c>
      <c r="C149" s="201" t="s">
        <v>460</v>
      </c>
      <c r="D149" s="807">
        <v>4</v>
      </c>
      <c r="E149" s="1894">
        <v>4.58</v>
      </c>
      <c r="F149" s="1894"/>
      <c r="G149" s="1894"/>
      <c r="H149" s="1894"/>
      <c r="I149" s="1894"/>
      <c r="J149" s="1894"/>
      <c r="K149" s="1894">
        <v>4.67</v>
      </c>
      <c r="L149" s="1894"/>
      <c r="M149" s="1894"/>
      <c r="N149" s="1894"/>
      <c r="O149" s="1894"/>
      <c r="P149" s="1894"/>
      <c r="Q149" s="6">
        <f t="shared" si="20"/>
        <v>4.625</v>
      </c>
      <c r="R149" s="8"/>
      <c r="S149" s="10"/>
      <c r="T149" s="9"/>
      <c r="U149" s="67"/>
      <c r="V149" s="67">
        <v>1</v>
      </c>
    </row>
    <row r="150" spans="1:25" ht="47.25" customHeight="1" x14ac:dyDescent="0.2">
      <c r="A150" s="804"/>
      <c r="B150" s="808" t="s">
        <v>1020</v>
      </c>
      <c r="C150" s="668" t="s">
        <v>1021</v>
      </c>
      <c r="D150" s="809">
        <v>0.8</v>
      </c>
      <c r="E150" s="1719"/>
      <c r="F150" s="1720"/>
      <c r="G150" s="1720"/>
      <c r="H150" s="1720"/>
      <c r="I150" s="1720"/>
      <c r="J150" s="1720"/>
      <c r="K150" s="1720"/>
      <c r="L150" s="1720"/>
      <c r="M150" s="1720"/>
      <c r="N150" s="1720"/>
      <c r="O150" s="1720"/>
      <c r="P150" s="1721"/>
      <c r="Q150" s="6" t="str">
        <f t="shared" si="20"/>
        <v>ND</v>
      </c>
      <c r="R150" s="315"/>
      <c r="S150" s="463"/>
      <c r="T150" s="316"/>
      <c r="U150" s="317"/>
      <c r="V150" s="317"/>
    </row>
    <row r="151" spans="1:25" ht="93.75" customHeight="1" x14ac:dyDescent="0.2">
      <c r="A151" s="804"/>
      <c r="B151" s="808" t="s">
        <v>1052</v>
      </c>
      <c r="C151" s="668" t="s">
        <v>1054</v>
      </c>
      <c r="D151" s="809">
        <v>0.8</v>
      </c>
      <c r="E151" s="1255"/>
      <c r="F151" s="1256"/>
      <c r="G151" s="1256"/>
      <c r="H151" s="1256"/>
      <c r="I151" s="1256"/>
      <c r="J151" s="1256"/>
      <c r="K151" s="1256"/>
      <c r="L151" s="1256"/>
      <c r="M151" s="1256"/>
      <c r="N151" s="1256"/>
      <c r="O151" s="1256"/>
      <c r="P151" s="1257"/>
      <c r="Q151" s="6" t="str">
        <f t="shared" si="20"/>
        <v>ND</v>
      </c>
      <c r="R151" s="315"/>
      <c r="S151" s="463"/>
      <c r="T151" s="316"/>
      <c r="U151" s="317"/>
      <c r="V151" s="317"/>
    </row>
    <row r="152" spans="1:25" ht="53.25" customHeight="1" x14ac:dyDescent="0.2">
      <c r="A152" s="804"/>
      <c r="B152" s="808" t="s">
        <v>1053</v>
      </c>
      <c r="C152" s="668" t="s">
        <v>1022</v>
      </c>
      <c r="D152" s="809">
        <v>0.02</v>
      </c>
      <c r="E152" s="1719"/>
      <c r="F152" s="1720"/>
      <c r="G152" s="1720"/>
      <c r="H152" s="1720"/>
      <c r="I152" s="1720"/>
      <c r="J152" s="1720"/>
      <c r="K152" s="1720"/>
      <c r="L152" s="1720"/>
      <c r="M152" s="1720"/>
      <c r="N152" s="1720"/>
      <c r="O152" s="1720"/>
      <c r="P152" s="1721"/>
      <c r="Q152" s="6" t="str">
        <f t="shared" si="20"/>
        <v>ND</v>
      </c>
      <c r="R152" s="315"/>
      <c r="S152" s="463"/>
      <c r="T152" s="316"/>
      <c r="U152" s="317"/>
      <c r="V152" s="317"/>
    </row>
    <row r="153" spans="1:25" ht="99.75" customHeight="1" x14ac:dyDescent="0.2">
      <c r="A153" s="1722" t="s">
        <v>450</v>
      </c>
      <c r="B153" s="140" t="s">
        <v>1188</v>
      </c>
      <c r="C153" s="201" t="s">
        <v>619</v>
      </c>
      <c r="D153" s="203">
        <v>0.03</v>
      </c>
      <c r="E153" s="1891">
        <f>6/117</f>
        <v>5.128205128205128E-2</v>
      </c>
      <c r="F153" s="1892"/>
      <c r="G153" s="1892"/>
      <c r="H153" s="1892"/>
      <c r="I153" s="1892"/>
      <c r="J153" s="1892"/>
      <c r="K153" s="1892"/>
      <c r="L153" s="1892"/>
      <c r="M153" s="1892"/>
      <c r="N153" s="1892"/>
      <c r="O153" s="1892"/>
      <c r="P153" s="1893"/>
      <c r="Q153" s="6">
        <f t="shared" si="20"/>
        <v>5.128205128205128E-2</v>
      </c>
      <c r="R153" s="8"/>
      <c r="S153" s="10"/>
      <c r="T153" s="9"/>
      <c r="U153" s="67">
        <v>1</v>
      </c>
      <c r="V153" s="67">
        <v>1</v>
      </c>
    </row>
    <row r="154" spans="1:25" ht="83.25" customHeight="1" x14ac:dyDescent="0.2">
      <c r="A154" s="1723"/>
      <c r="B154" s="429" t="s">
        <v>1189</v>
      </c>
      <c r="C154" s="366" t="s">
        <v>456</v>
      </c>
      <c r="D154" s="672">
        <v>0.03</v>
      </c>
      <c r="E154" s="1887">
        <f>761/2199</f>
        <v>0.34606639381537063</v>
      </c>
      <c r="F154" s="1887"/>
      <c r="G154" s="1887"/>
      <c r="H154" s="1887"/>
      <c r="I154" s="1887"/>
      <c r="J154" s="1887"/>
      <c r="K154" s="1887"/>
      <c r="L154" s="1887"/>
      <c r="M154" s="1887"/>
      <c r="N154" s="1887"/>
      <c r="O154" s="1887"/>
      <c r="P154" s="1887"/>
      <c r="Q154" s="6">
        <f t="shared" si="20"/>
        <v>0.34606639381537063</v>
      </c>
      <c r="R154" s="8"/>
      <c r="S154" s="10"/>
      <c r="T154" s="9"/>
      <c r="U154" s="67"/>
      <c r="V154" s="67">
        <v>1</v>
      </c>
      <c r="X154" s="811" t="s">
        <v>735</v>
      </c>
    </row>
    <row r="155" spans="1:25" ht="83.25" customHeight="1" x14ac:dyDescent="0.2">
      <c r="A155" s="1723"/>
      <c r="B155" s="670" t="s">
        <v>1270</v>
      </c>
      <c r="C155" s="668" t="s">
        <v>1271</v>
      </c>
      <c r="D155" s="809" t="s">
        <v>626</v>
      </c>
      <c r="E155" s="1701"/>
      <c r="F155" s="1702"/>
      <c r="G155" s="1702"/>
      <c r="H155" s="1702"/>
      <c r="I155" s="1702"/>
      <c r="J155" s="1703"/>
      <c r="K155" s="1704"/>
      <c r="L155" s="1705"/>
      <c r="M155" s="1705"/>
      <c r="N155" s="1705"/>
      <c r="O155" s="1705"/>
      <c r="P155" s="1705"/>
      <c r="Q155" s="6"/>
      <c r="R155" s="315"/>
      <c r="S155" s="463"/>
      <c r="T155" s="316"/>
      <c r="U155" s="317"/>
      <c r="V155" s="317"/>
      <c r="W155" s="1237"/>
    </row>
    <row r="156" spans="1:25" ht="83.25" customHeight="1" x14ac:dyDescent="0.2">
      <c r="A156" s="1723"/>
      <c r="B156" s="670" t="s">
        <v>1272</v>
      </c>
      <c r="C156" s="668" t="s">
        <v>1273</v>
      </c>
      <c r="D156" s="809" t="s">
        <v>626</v>
      </c>
      <c r="E156" s="1701"/>
      <c r="F156" s="1702"/>
      <c r="G156" s="1702"/>
      <c r="H156" s="1702"/>
      <c r="I156" s="1702"/>
      <c r="J156" s="1703"/>
      <c r="K156" s="1704"/>
      <c r="L156" s="1705"/>
      <c r="M156" s="1705"/>
      <c r="N156" s="1705"/>
      <c r="O156" s="1705"/>
      <c r="P156" s="1705"/>
      <c r="Q156" s="6"/>
      <c r="R156" s="315"/>
      <c r="S156" s="463"/>
      <c r="T156" s="316"/>
      <c r="U156" s="317"/>
      <c r="V156" s="317"/>
      <c r="W156" s="1237"/>
    </row>
    <row r="157" spans="1:25" ht="83.25" customHeight="1" x14ac:dyDescent="0.2">
      <c r="A157" s="1723"/>
      <c r="B157" s="670" t="s">
        <v>1274</v>
      </c>
      <c r="C157" s="668" t="s">
        <v>1275</v>
      </c>
      <c r="D157" s="809" t="s">
        <v>626</v>
      </c>
      <c r="E157" s="1701"/>
      <c r="F157" s="1702"/>
      <c r="G157" s="1702"/>
      <c r="H157" s="1702"/>
      <c r="I157" s="1702"/>
      <c r="J157" s="1703"/>
      <c r="K157" s="1704"/>
      <c r="L157" s="1705"/>
      <c r="M157" s="1705"/>
      <c r="N157" s="1705"/>
      <c r="O157" s="1705"/>
      <c r="P157" s="1705"/>
      <c r="Q157" s="6"/>
      <c r="R157" s="315"/>
      <c r="S157" s="463"/>
      <c r="T157" s="316"/>
      <c r="U157" s="317"/>
      <c r="V157" s="317"/>
      <c r="W157" s="1237"/>
    </row>
    <row r="158" spans="1:25" ht="83.25" customHeight="1" x14ac:dyDescent="0.2">
      <c r="A158" s="1724"/>
      <c r="B158" s="670" t="s">
        <v>1276</v>
      </c>
      <c r="C158" s="668" t="s">
        <v>1277</v>
      </c>
      <c r="D158" s="809" t="s">
        <v>626</v>
      </c>
      <c r="E158" s="1701"/>
      <c r="F158" s="1702"/>
      <c r="G158" s="1702"/>
      <c r="H158" s="1702"/>
      <c r="I158" s="1702"/>
      <c r="J158" s="1703"/>
      <c r="K158" s="1704"/>
      <c r="L158" s="1705"/>
      <c r="M158" s="1705"/>
      <c r="N158" s="1705"/>
      <c r="O158" s="1705"/>
      <c r="P158" s="1705"/>
      <c r="Q158" s="6"/>
      <c r="R158" s="315"/>
      <c r="S158" s="463"/>
      <c r="T158" s="316"/>
      <c r="U158" s="317"/>
      <c r="V158" s="317"/>
      <c r="W158" s="1237"/>
    </row>
    <row r="159" spans="1:25" ht="79.5" customHeight="1" x14ac:dyDescent="0.2">
      <c r="A159" s="1866" t="s">
        <v>449</v>
      </c>
      <c r="B159" s="670" t="s">
        <v>1033</v>
      </c>
      <c r="C159" s="668" t="s">
        <v>1034</v>
      </c>
      <c r="D159" s="816" t="s">
        <v>1035</v>
      </c>
      <c r="E159" s="1876" t="s">
        <v>1035</v>
      </c>
      <c r="F159" s="1877"/>
      <c r="G159" s="1877"/>
      <c r="H159" s="1877"/>
      <c r="I159" s="1877"/>
      <c r="J159" s="1878"/>
      <c r="K159" s="1713">
        <v>4.7199999999999999E-2</v>
      </c>
      <c r="L159" s="1714"/>
      <c r="M159" s="1714"/>
      <c r="N159" s="1714"/>
      <c r="O159" s="1714"/>
      <c r="P159" s="1714"/>
      <c r="Q159" s="6">
        <f t="shared" si="20"/>
        <v>4.7199999999999999E-2</v>
      </c>
      <c r="R159" s="8"/>
      <c r="S159" s="10"/>
      <c r="T159" s="9"/>
      <c r="U159" s="67">
        <v>1</v>
      </c>
      <c r="V159" s="67">
        <v>1</v>
      </c>
    </row>
    <row r="160" spans="1:25" ht="79.5" customHeight="1" x14ac:dyDescent="0.2">
      <c r="A160" s="1867"/>
      <c r="B160" s="670" t="s">
        <v>1016</v>
      </c>
      <c r="C160" s="668" t="s">
        <v>1017</v>
      </c>
      <c r="D160" s="671">
        <v>0.9</v>
      </c>
      <c r="E160" s="1713">
        <v>0.99399999999999999</v>
      </c>
      <c r="F160" s="1714"/>
      <c r="G160" s="1714"/>
      <c r="H160" s="1714"/>
      <c r="I160" s="1714"/>
      <c r="J160" s="1714"/>
      <c r="K160" s="1713">
        <v>0.96430000000000005</v>
      </c>
      <c r="L160" s="1714"/>
      <c r="M160" s="1714"/>
      <c r="N160" s="1714"/>
      <c r="O160" s="1714"/>
      <c r="P160" s="1714"/>
      <c r="Q160" s="6">
        <f t="shared" si="20"/>
        <v>0.97914999999999996</v>
      </c>
      <c r="R160" s="314"/>
      <c r="S160" s="463"/>
      <c r="T160" s="316"/>
      <c r="U160" s="317"/>
      <c r="V160" s="317">
        <v>1</v>
      </c>
    </row>
    <row r="161" spans="1:24" ht="79.5" customHeight="1" x14ac:dyDescent="0.2">
      <c r="A161" s="1867"/>
      <c r="B161" s="670" t="s">
        <v>1055</v>
      </c>
      <c r="C161" s="668" t="s">
        <v>1056</v>
      </c>
      <c r="D161" s="671">
        <v>1</v>
      </c>
      <c r="E161" s="1713">
        <f>87/121</f>
        <v>0.71900826446280997</v>
      </c>
      <c r="F161" s="1714"/>
      <c r="G161" s="1714"/>
      <c r="H161" s="1714"/>
      <c r="I161" s="1714"/>
      <c r="J161" s="1714"/>
      <c r="K161" s="1713">
        <v>0.81820000000000004</v>
      </c>
      <c r="L161" s="1714"/>
      <c r="M161" s="1714"/>
      <c r="N161" s="1714"/>
      <c r="O161" s="1714"/>
      <c r="P161" s="1714"/>
      <c r="Q161" s="6">
        <f t="shared" si="20"/>
        <v>0.768604132231405</v>
      </c>
      <c r="R161" s="314"/>
      <c r="S161" s="463"/>
      <c r="T161" s="316"/>
      <c r="U161" s="317"/>
      <c r="V161" s="317">
        <v>1</v>
      </c>
    </row>
    <row r="162" spans="1:24" ht="88.5" customHeight="1" x14ac:dyDescent="0.2">
      <c r="A162" s="1867"/>
      <c r="B162" s="395" t="s">
        <v>812</v>
      </c>
      <c r="C162" s="366" t="s">
        <v>813</v>
      </c>
      <c r="D162" s="812">
        <v>50</v>
      </c>
      <c r="E162" s="1713">
        <f>348/600</f>
        <v>0.57999999999999996</v>
      </c>
      <c r="F162" s="1713"/>
      <c r="G162" s="1713"/>
      <c r="H162" s="1713"/>
      <c r="I162" s="1713"/>
      <c r="J162" s="1713"/>
      <c r="K162" s="1713"/>
      <c r="L162" s="1713"/>
      <c r="M162" s="1713"/>
      <c r="N162" s="1713"/>
      <c r="O162" s="1713"/>
      <c r="P162" s="1713"/>
      <c r="Q162" s="6">
        <f t="shared" si="20"/>
        <v>0.57999999999999996</v>
      </c>
      <c r="R162" s="314"/>
      <c r="S162" s="463"/>
      <c r="T162" s="316"/>
      <c r="U162" s="317"/>
      <c r="V162" s="317">
        <v>1</v>
      </c>
    </row>
    <row r="163" spans="1:24" ht="108" customHeight="1" x14ac:dyDescent="0.2">
      <c r="A163" s="1867"/>
      <c r="B163" s="670" t="s">
        <v>1023</v>
      </c>
      <c r="C163" s="668" t="s">
        <v>1024</v>
      </c>
      <c r="D163" s="671">
        <v>0.8</v>
      </c>
      <c r="E163" s="1713">
        <f>42/43</f>
        <v>0.97674418604651159</v>
      </c>
      <c r="F163" s="1714"/>
      <c r="G163" s="1714"/>
      <c r="H163" s="1714"/>
      <c r="I163" s="1714"/>
      <c r="J163" s="1714"/>
      <c r="K163" s="1713">
        <v>0.92</v>
      </c>
      <c r="L163" s="1714"/>
      <c r="M163" s="1714"/>
      <c r="N163" s="1714"/>
      <c r="O163" s="1714"/>
      <c r="P163" s="1714"/>
      <c r="Q163" s="6">
        <f t="shared" si="20"/>
        <v>0.94837209302325576</v>
      </c>
      <c r="R163" s="314"/>
      <c r="S163" s="463"/>
      <c r="T163" s="316"/>
      <c r="U163" s="317"/>
      <c r="V163" s="317">
        <v>1</v>
      </c>
    </row>
    <row r="164" spans="1:24" ht="87" customHeight="1" x14ac:dyDescent="0.2">
      <c r="A164" s="1867"/>
      <c r="B164" s="429" t="s">
        <v>814</v>
      </c>
      <c r="C164" s="366" t="s">
        <v>815</v>
      </c>
      <c r="D164" s="812">
        <v>70</v>
      </c>
      <c r="E164" s="1713">
        <f>325/350</f>
        <v>0.9285714285714286</v>
      </c>
      <c r="F164" s="1714"/>
      <c r="G164" s="1714"/>
      <c r="H164" s="1714"/>
      <c r="I164" s="1714"/>
      <c r="J164" s="1714"/>
      <c r="K164" s="1713">
        <f>275/200</f>
        <v>1.375</v>
      </c>
      <c r="L164" s="1714"/>
      <c r="M164" s="1714"/>
      <c r="N164" s="1714"/>
      <c r="O164" s="1714"/>
      <c r="P164" s="1714"/>
      <c r="Q164" s="6">
        <f t="shared" si="20"/>
        <v>1.1517857142857144</v>
      </c>
      <c r="R164" s="314"/>
      <c r="S164" s="463"/>
      <c r="T164" s="316"/>
      <c r="U164" s="317"/>
      <c r="V164" s="317">
        <v>1</v>
      </c>
    </row>
    <row r="165" spans="1:24" ht="62.25" customHeight="1" x14ac:dyDescent="0.2">
      <c r="A165" s="1867"/>
      <c r="B165" s="429" t="s">
        <v>816</v>
      </c>
      <c r="C165" s="366" t="s">
        <v>817</v>
      </c>
      <c r="D165" s="813">
        <v>0.8</v>
      </c>
      <c r="E165" s="1713">
        <f>2/2</f>
        <v>1</v>
      </c>
      <c r="F165" s="1714"/>
      <c r="G165" s="1714"/>
      <c r="H165" s="1714"/>
      <c r="I165" s="1714"/>
      <c r="J165" s="1714"/>
      <c r="K165" s="1713">
        <f>4/4</f>
        <v>1</v>
      </c>
      <c r="L165" s="1714"/>
      <c r="M165" s="1714"/>
      <c r="N165" s="1714"/>
      <c r="O165" s="1714"/>
      <c r="P165" s="1714"/>
      <c r="Q165" s="6">
        <f t="shared" si="20"/>
        <v>1</v>
      </c>
      <c r="R165" s="314"/>
      <c r="S165" s="463"/>
      <c r="T165" s="316"/>
      <c r="U165" s="317"/>
      <c r="V165" s="317">
        <v>1</v>
      </c>
      <c r="W165" s="781">
        <f>204*80</f>
        <v>16320</v>
      </c>
    </row>
    <row r="166" spans="1:24" ht="62.25" customHeight="1" x14ac:dyDescent="0.2">
      <c r="A166" s="1867"/>
      <c r="B166" s="429" t="s">
        <v>819</v>
      </c>
      <c r="C166" s="366" t="s">
        <v>820</v>
      </c>
      <c r="D166" s="813">
        <v>0.8</v>
      </c>
      <c r="E166" s="1713">
        <f>194/204</f>
        <v>0.9509803921568627</v>
      </c>
      <c r="F166" s="1714"/>
      <c r="G166" s="1714"/>
      <c r="H166" s="1714"/>
      <c r="I166" s="1714"/>
      <c r="J166" s="1714"/>
      <c r="K166" s="1713">
        <f>193/206</f>
        <v>0.93689320388349517</v>
      </c>
      <c r="L166" s="1714"/>
      <c r="M166" s="1714"/>
      <c r="N166" s="1714"/>
      <c r="O166" s="1714"/>
      <c r="P166" s="1714"/>
      <c r="Q166" s="6">
        <f t="shared" si="20"/>
        <v>0.94393679802017894</v>
      </c>
      <c r="R166" s="314"/>
      <c r="S166" s="463"/>
      <c r="T166" s="316"/>
      <c r="U166" s="317"/>
      <c r="V166" s="317">
        <v>1</v>
      </c>
    </row>
    <row r="167" spans="1:24" ht="74.25" customHeight="1" x14ac:dyDescent="0.2">
      <c r="A167" s="1868"/>
      <c r="B167" s="429" t="s">
        <v>818</v>
      </c>
      <c r="C167" s="366" t="s">
        <v>821</v>
      </c>
      <c r="D167" s="813">
        <v>0.8</v>
      </c>
      <c r="E167" s="1713">
        <f>4/4</f>
        <v>1</v>
      </c>
      <c r="F167" s="1714"/>
      <c r="G167" s="1714"/>
      <c r="H167" s="1714"/>
      <c r="I167" s="1714"/>
      <c r="J167" s="1714"/>
      <c r="K167" s="1713">
        <f>11/11</f>
        <v>1</v>
      </c>
      <c r="L167" s="1714"/>
      <c r="M167" s="1714"/>
      <c r="N167" s="1714"/>
      <c r="O167" s="1714"/>
      <c r="P167" s="1714"/>
      <c r="Q167" s="6">
        <f t="shared" si="20"/>
        <v>1</v>
      </c>
      <c r="R167" s="314"/>
      <c r="S167" s="463"/>
      <c r="T167" s="316"/>
      <c r="U167" s="317"/>
      <c r="V167" s="317">
        <v>1</v>
      </c>
      <c r="X167" s="811">
        <f>4+2+36+26</f>
        <v>68</v>
      </c>
    </row>
    <row r="168" spans="1:24" ht="105" customHeight="1" x14ac:dyDescent="0.2">
      <c r="A168" s="1850" t="s">
        <v>461</v>
      </c>
      <c r="B168" s="1885" t="s">
        <v>1305</v>
      </c>
      <c r="C168" s="465" t="s">
        <v>462</v>
      </c>
      <c r="D168" s="1852">
        <v>0.8</v>
      </c>
      <c r="E168" s="1879">
        <v>0.90669999999999995</v>
      </c>
      <c r="F168" s="1880"/>
      <c r="G168" s="1880"/>
      <c r="H168" s="1880"/>
      <c r="I168" s="1880"/>
      <c r="J168" s="1880"/>
      <c r="K168" s="1880"/>
      <c r="L168" s="1880"/>
      <c r="M168" s="1880"/>
      <c r="N168" s="1880"/>
      <c r="O168" s="1880"/>
      <c r="P168" s="1881"/>
      <c r="Q168" s="1870">
        <v>4.58</v>
      </c>
      <c r="R168" s="7"/>
      <c r="S168" s="10"/>
      <c r="T168" s="9"/>
      <c r="U168" s="67"/>
      <c r="V168" s="1711">
        <v>1</v>
      </c>
    </row>
    <row r="169" spans="1:24" ht="143.25" customHeight="1" thickBot="1" x14ac:dyDescent="0.25">
      <c r="A169" s="1851"/>
      <c r="B169" s="1886"/>
      <c r="C169" s="202" t="s">
        <v>463</v>
      </c>
      <c r="D169" s="1853"/>
      <c r="E169" s="1882"/>
      <c r="F169" s="1883"/>
      <c r="G169" s="1883"/>
      <c r="H169" s="1883"/>
      <c r="I169" s="1883"/>
      <c r="J169" s="1883"/>
      <c r="K169" s="1883"/>
      <c r="L169" s="1883"/>
      <c r="M169" s="1883"/>
      <c r="N169" s="1883"/>
      <c r="O169" s="1883"/>
      <c r="P169" s="1884"/>
      <c r="Q169" s="1871"/>
      <c r="R169" s="24"/>
      <c r="U169" s="29"/>
      <c r="V169" s="1712"/>
    </row>
    <row r="170" spans="1:24" ht="18" x14ac:dyDescent="0.2">
      <c r="A170" s="2"/>
      <c r="B170" s="21"/>
      <c r="E170" s="422"/>
      <c r="F170" s="422"/>
      <c r="G170" s="422"/>
      <c r="H170" s="422"/>
      <c r="I170" s="422"/>
      <c r="J170" s="422"/>
      <c r="K170" s="422"/>
      <c r="L170" s="422"/>
      <c r="M170" s="422"/>
      <c r="N170" s="422"/>
      <c r="O170" s="422"/>
      <c r="P170" s="422"/>
      <c r="Q170" s="29"/>
      <c r="R170" s="24"/>
      <c r="U170" s="29"/>
      <c r="V170" s="1000">
        <f>SUM(V8:V169)</f>
        <v>96</v>
      </c>
    </row>
    <row r="171" spans="1:24" x14ac:dyDescent="0.2">
      <c r="A171" s="2"/>
      <c r="B171" s="21"/>
      <c r="E171" s="422"/>
      <c r="F171" s="422"/>
      <c r="G171" s="422"/>
      <c r="H171" s="422"/>
      <c r="I171" s="422"/>
      <c r="J171" s="422"/>
      <c r="K171" s="422"/>
      <c r="L171" s="422"/>
      <c r="M171" s="422"/>
      <c r="N171" s="422"/>
      <c r="O171" s="422"/>
      <c r="P171" s="422"/>
      <c r="Q171" s="29"/>
      <c r="R171" s="24"/>
      <c r="U171" s="29"/>
      <c r="V171" s="29"/>
    </row>
    <row r="172" spans="1:24" x14ac:dyDescent="0.2">
      <c r="A172" s="2"/>
      <c r="B172" s="21"/>
      <c r="E172" s="422"/>
      <c r="F172" s="422"/>
      <c r="G172" s="422"/>
      <c r="H172" s="422"/>
      <c r="I172" s="422"/>
      <c r="J172" s="422"/>
      <c r="K172" s="422"/>
      <c r="L172" s="422"/>
      <c r="M172" s="422"/>
      <c r="N172" s="422"/>
      <c r="O172" s="422"/>
      <c r="P172" s="422"/>
      <c r="Q172" s="29"/>
      <c r="R172" s="24"/>
      <c r="U172" s="29"/>
      <c r="V172" s="29"/>
    </row>
    <row r="173" spans="1:24" x14ac:dyDescent="0.2">
      <c r="A173" s="2"/>
      <c r="B173" s="21"/>
      <c r="E173" s="422"/>
      <c r="F173" s="422"/>
      <c r="G173" s="422"/>
      <c r="H173" s="422"/>
      <c r="I173" s="422"/>
      <c r="J173" s="422"/>
      <c r="K173" s="422"/>
      <c r="L173" s="422"/>
      <c r="M173" s="422"/>
      <c r="N173" s="422"/>
      <c r="O173" s="422"/>
      <c r="P173" s="422"/>
      <c r="Q173" s="29"/>
      <c r="R173" s="24"/>
      <c r="U173" s="29"/>
      <c r="V173" s="29"/>
    </row>
    <row r="174" spans="1:24" ht="105" customHeight="1" x14ac:dyDescent="0.2">
      <c r="A174" s="2"/>
      <c r="B174" s="21"/>
      <c r="C174" s="717" t="s">
        <v>735</v>
      </c>
      <c r="E174" s="422"/>
      <c r="F174" s="422"/>
      <c r="G174" s="422"/>
      <c r="H174" s="422"/>
      <c r="I174" s="422"/>
      <c r="J174" s="422"/>
      <c r="K174" s="422"/>
      <c r="L174" s="422"/>
      <c r="M174" s="422"/>
      <c r="N174" s="422"/>
      <c r="O174" s="422"/>
      <c r="P174" s="422"/>
      <c r="Q174" s="29"/>
      <c r="R174" s="24"/>
      <c r="U174" s="29"/>
      <c r="V174" s="29"/>
    </row>
    <row r="175" spans="1:24" x14ac:dyDescent="0.2">
      <c r="A175" s="2"/>
      <c r="B175" s="21"/>
      <c r="E175" s="422"/>
      <c r="F175" s="422"/>
      <c r="G175" s="422"/>
      <c r="H175" s="422"/>
      <c r="I175" s="422"/>
      <c r="J175" s="422"/>
      <c r="K175" s="422"/>
      <c r="L175" s="422"/>
      <c r="M175" s="422"/>
      <c r="N175" s="422"/>
      <c r="O175" s="422"/>
      <c r="P175" s="422"/>
      <c r="Q175" s="29"/>
      <c r="R175" s="24"/>
      <c r="U175" s="29"/>
      <c r="V175" s="29"/>
    </row>
    <row r="176" spans="1:24" x14ac:dyDescent="0.2">
      <c r="A176" s="2"/>
      <c r="B176" s="21"/>
      <c r="E176" s="422"/>
      <c r="F176" s="422"/>
      <c r="G176" s="422"/>
      <c r="H176" s="422"/>
      <c r="I176" s="422"/>
      <c r="J176" s="422"/>
      <c r="K176" s="422"/>
      <c r="L176" s="422"/>
      <c r="M176" s="422"/>
      <c r="N176" s="422"/>
      <c r="O176" s="422"/>
      <c r="P176" s="422"/>
      <c r="Q176" s="29"/>
      <c r="R176" s="24"/>
      <c r="U176" s="29"/>
      <c r="V176" s="29"/>
    </row>
    <row r="177" spans="1:22" x14ac:dyDescent="0.2">
      <c r="A177" s="2"/>
      <c r="B177" s="21"/>
      <c r="E177" s="422"/>
      <c r="F177" s="422"/>
      <c r="G177" s="422"/>
      <c r="H177" s="422"/>
      <c r="I177" s="422"/>
      <c r="J177" s="422"/>
      <c r="K177" s="422"/>
      <c r="L177" s="422"/>
      <c r="M177" s="422"/>
      <c r="N177" s="422"/>
      <c r="O177" s="422"/>
      <c r="P177" s="422"/>
      <c r="Q177" s="29"/>
      <c r="R177" s="24"/>
      <c r="U177" s="29"/>
      <c r="V177" s="29"/>
    </row>
    <row r="178" spans="1:22" x14ac:dyDescent="0.2">
      <c r="A178" s="2"/>
      <c r="B178" s="21"/>
      <c r="E178" s="422"/>
      <c r="F178" s="422"/>
      <c r="G178" s="422"/>
      <c r="H178" s="422"/>
      <c r="I178" s="422"/>
      <c r="J178" s="422"/>
      <c r="K178" s="422"/>
      <c r="L178" s="422"/>
      <c r="M178" s="422"/>
      <c r="N178" s="422"/>
      <c r="O178" s="422"/>
      <c r="P178" s="422"/>
      <c r="Q178" s="29"/>
      <c r="R178" s="24"/>
      <c r="U178" s="29"/>
      <c r="V178" s="29"/>
    </row>
    <row r="179" spans="1:22" x14ac:dyDescent="0.2">
      <c r="A179" s="2"/>
      <c r="B179" s="21"/>
      <c r="E179" s="422"/>
      <c r="F179" s="422"/>
      <c r="G179" s="422"/>
      <c r="H179" s="422"/>
      <c r="I179" s="422"/>
      <c r="J179" s="422"/>
      <c r="K179" s="422"/>
      <c r="L179" s="422"/>
      <c r="M179" s="422"/>
      <c r="N179" s="422"/>
      <c r="O179" s="422"/>
      <c r="P179" s="422"/>
      <c r="Q179" s="29"/>
      <c r="R179" s="24"/>
      <c r="U179" s="29"/>
      <c r="V179" s="29"/>
    </row>
    <row r="180" spans="1:22" x14ac:dyDescent="0.2">
      <c r="A180" s="2"/>
      <c r="B180" s="21"/>
      <c r="E180" s="422"/>
      <c r="F180" s="422"/>
      <c r="G180" s="422"/>
      <c r="H180" s="422"/>
      <c r="I180" s="422"/>
      <c r="J180" s="422"/>
      <c r="K180" s="422"/>
      <c r="L180" s="422"/>
      <c r="M180" s="422"/>
      <c r="N180" s="422"/>
      <c r="O180" s="422"/>
      <c r="P180" s="422"/>
      <c r="Q180" s="29"/>
      <c r="R180" s="24"/>
      <c r="U180" s="29"/>
      <c r="V180" s="29"/>
    </row>
    <row r="181" spans="1:22" x14ac:dyDescent="0.2">
      <c r="A181" s="2"/>
      <c r="B181" s="21"/>
      <c r="E181" s="422"/>
      <c r="F181" s="422"/>
      <c r="G181" s="422"/>
      <c r="H181" s="422"/>
      <c r="I181" s="422"/>
      <c r="J181" s="422"/>
      <c r="K181" s="422"/>
      <c r="L181" s="422"/>
      <c r="M181" s="422"/>
      <c r="N181" s="422"/>
      <c r="O181" s="422"/>
      <c r="P181" s="422"/>
      <c r="Q181" s="29"/>
      <c r="R181" s="24"/>
      <c r="U181" s="29"/>
      <c r="V181" s="29"/>
    </row>
    <row r="182" spans="1:22" x14ac:dyDescent="0.2">
      <c r="A182" s="2"/>
      <c r="B182" s="21"/>
      <c r="E182" s="422"/>
      <c r="F182" s="422"/>
      <c r="G182" s="422"/>
      <c r="H182" s="422"/>
      <c r="I182" s="422"/>
      <c r="J182" s="422"/>
      <c r="K182" s="422"/>
      <c r="L182" s="422"/>
      <c r="M182" s="422"/>
      <c r="N182" s="422"/>
      <c r="O182" s="422"/>
      <c r="P182" s="422"/>
      <c r="Q182" s="29"/>
      <c r="R182" s="24"/>
      <c r="U182" s="29"/>
      <c r="V182" s="29"/>
    </row>
    <row r="183" spans="1:22" x14ac:dyDescent="0.2">
      <c r="A183" s="2"/>
      <c r="B183" s="21"/>
      <c r="E183" s="422"/>
      <c r="F183" s="422"/>
      <c r="G183" s="422"/>
      <c r="H183" s="422"/>
      <c r="I183" s="422"/>
      <c r="J183" s="422"/>
      <c r="K183" s="422"/>
      <c r="L183" s="422"/>
      <c r="M183" s="422"/>
      <c r="N183" s="422"/>
      <c r="O183" s="422"/>
      <c r="P183" s="422"/>
      <c r="Q183" s="29"/>
      <c r="R183" s="24"/>
      <c r="U183" s="29"/>
      <c r="V183" s="29"/>
    </row>
    <row r="184" spans="1:22" x14ac:dyDescent="0.2">
      <c r="A184" s="2"/>
      <c r="B184" s="21"/>
      <c r="E184" s="422"/>
      <c r="F184" s="422"/>
      <c r="G184" s="422"/>
      <c r="H184" s="422"/>
      <c r="I184" s="422"/>
      <c r="J184" s="422"/>
      <c r="K184" s="422"/>
      <c r="L184" s="422"/>
      <c r="M184" s="422"/>
      <c r="N184" s="422"/>
      <c r="O184" s="422"/>
      <c r="P184" s="422"/>
      <c r="Q184" s="29"/>
      <c r="R184" s="24"/>
      <c r="U184" s="29"/>
      <c r="V184" s="29"/>
    </row>
    <row r="185" spans="1:22" x14ac:dyDescent="0.2">
      <c r="A185" s="2"/>
      <c r="B185" s="21"/>
      <c r="E185" s="422"/>
      <c r="F185" s="422"/>
      <c r="G185" s="422"/>
      <c r="H185" s="422"/>
      <c r="I185" s="422"/>
      <c r="J185" s="422"/>
      <c r="K185" s="422"/>
      <c r="L185" s="422"/>
      <c r="M185" s="422"/>
      <c r="N185" s="422"/>
      <c r="O185" s="422"/>
      <c r="P185" s="422"/>
      <c r="Q185" s="29"/>
      <c r="R185" s="24"/>
      <c r="U185" s="29"/>
      <c r="V185" s="29"/>
    </row>
    <row r="186" spans="1:22" x14ac:dyDescent="0.2">
      <c r="A186" s="2"/>
      <c r="B186" s="21"/>
      <c r="E186" s="422"/>
      <c r="F186" s="422"/>
      <c r="G186" s="422"/>
      <c r="H186" s="422"/>
      <c r="I186" s="422"/>
      <c r="J186" s="422"/>
      <c r="K186" s="422"/>
      <c r="L186" s="422"/>
      <c r="M186" s="422"/>
      <c r="N186" s="422"/>
      <c r="O186" s="422"/>
      <c r="P186" s="422"/>
      <c r="Q186" s="29"/>
      <c r="R186" s="24"/>
      <c r="U186" s="29"/>
      <c r="V186" s="29"/>
    </row>
    <row r="187" spans="1:22" x14ac:dyDescent="0.2">
      <c r="A187" s="2"/>
      <c r="B187" s="21"/>
      <c r="E187" s="422"/>
      <c r="F187" s="422"/>
      <c r="G187" s="422"/>
      <c r="H187" s="422"/>
      <c r="I187" s="422"/>
      <c r="J187" s="422"/>
      <c r="K187" s="422"/>
      <c r="L187" s="422"/>
      <c r="M187" s="422"/>
      <c r="N187" s="422"/>
      <c r="O187" s="422"/>
      <c r="P187" s="422"/>
      <c r="Q187" s="29"/>
      <c r="R187" s="24"/>
      <c r="U187" s="29"/>
      <c r="V187" s="29"/>
    </row>
    <row r="188" spans="1:22" x14ac:dyDescent="0.2">
      <c r="A188" s="2"/>
      <c r="B188" s="21"/>
      <c r="E188" s="422"/>
      <c r="F188" s="422"/>
      <c r="G188" s="422"/>
      <c r="H188" s="422"/>
      <c r="I188" s="422"/>
      <c r="J188" s="422"/>
      <c r="K188" s="422"/>
      <c r="L188" s="422"/>
      <c r="M188" s="422"/>
      <c r="N188" s="422"/>
      <c r="O188" s="422"/>
      <c r="P188" s="422"/>
      <c r="Q188" s="29"/>
      <c r="R188" s="24"/>
      <c r="U188" s="29"/>
      <c r="V188" s="29"/>
    </row>
    <row r="189" spans="1:22" x14ac:dyDescent="0.2">
      <c r="A189" s="2"/>
      <c r="B189" s="21"/>
      <c r="E189" s="422"/>
      <c r="F189" s="422"/>
      <c r="G189" s="422"/>
      <c r="H189" s="422"/>
      <c r="I189" s="422"/>
      <c r="J189" s="422"/>
      <c r="K189" s="422"/>
      <c r="L189" s="422"/>
      <c r="M189" s="422"/>
      <c r="N189" s="422"/>
      <c r="O189" s="422"/>
      <c r="P189" s="422"/>
      <c r="Q189" s="29"/>
      <c r="R189" s="24"/>
      <c r="U189" s="29"/>
      <c r="V189" s="29"/>
    </row>
    <row r="190" spans="1:22" x14ac:dyDescent="0.2">
      <c r="A190" s="2"/>
      <c r="B190" s="21"/>
      <c r="E190" s="422"/>
      <c r="F190" s="422"/>
      <c r="G190" s="422"/>
      <c r="H190" s="422"/>
      <c r="I190" s="422"/>
      <c r="J190" s="422"/>
      <c r="K190" s="422"/>
      <c r="L190" s="422"/>
      <c r="M190" s="422"/>
      <c r="N190" s="422"/>
      <c r="O190" s="422"/>
      <c r="P190" s="422"/>
      <c r="Q190" s="29"/>
      <c r="R190" s="24"/>
      <c r="U190" s="29"/>
      <c r="V190" s="29"/>
    </row>
    <row r="191" spans="1:22" x14ac:dyDescent="0.2">
      <c r="A191" s="2"/>
      <c r="B191" s="21"/>
      <c r="E191" s="422"/>
      <c r="F191" s="422"/>
      <c r="G191" s="422"/>
      <c r="H191" s="422"/>
      <c r="I191" s="422"/>
      <c r="J191" s="422"/>
      <c r="K191" s="422"/>
      <c r="L191" s="422"/>
      <c r="M191" s="422"/>
      <c r="N191" s="422"/>
      <c r="O191" s="422"/>
      <c r="P191" s="422"/>
      <c r="Q191" s="29"/>
      <c r="R191" s="24"/>
      <c r="U191" s="29"/>
      <c r="V191" s="29"/>
    </row>
    <row r="192" spans="1:22" x14ac:dyDescent="0.2">
      <c r="A192" s="2"/>
      <c r="B192" s="21"/>
      <c r="E192" s="422"/>
      <c r="F192" s="422"/>
      <c r="G192" s="422"/>
      <c r="H192" s="422"/>
      <c r="I192" s="422"/>
      <c r="J192" s="422"/>
      <c r="K192" s="422"/>
      <c r="L192" s="422"/>
      <c r="M192" s="422"/>
      <c r="N192" s="422"/>
      <c r="O192" s="422"/>
      <c r="P192" s="422"/>
      <c r="Q192" s="29"/>
      <c r="R192" s="24"/>
      <c r="U192" s="29"/>
      <c r="V192" s="29"/>
    </row>
    <row r="193" spans="1:22" x14ac:dyDescent="0.2">
      <c r="A193" s="2"/>
      <c r="B193" s="21"/>
      <c r="E193" s="422"/>
      <c r="F193" s="422"/>
      <c r="G193" s="422"/>
      <c r="H193" s="422"/>
      <c r="I193" s="422"/>
      <c r="J193" s="422"/>
      <c r="K193" s="422"/>
      <c r="L193" s="422"/>
      <c r="M193" s="422"/>
      <c r="N193" s="422"/>
      <c r="O193" s="422"/>
      <c r="P193" s="422"/>
      <c r="Q193" s="29"/>
      <c r="R193" s="24"/>
      <c r="U193" s="29"/>
      <c r="V193" s="29"/>
    </row>
    <row r="194" spans="1:22" x14ac:dyDescent="0.2">
      <c r="A194" s="2"/>
      <c r="B194" s="21"/>
      <c r="E194" s="422"/>
      <c r="F194" s="422"/>
      <c r="G194" s="422"/>
      <c r="H194" s="422"/>
      <c r="I194" s="422"/>
      <c r="J194" s="422"/>
      <c r="K194" s="422"/>
      <c r="L194" s="422"/>
      <c r="M194" s="422"/>
      <c r="N194" s="422"/>
      <c r="O194" s="422"/>
      <c r="P194" s="422"/>
      <c r="Q194" s="29"/>
      <c r="R194" s="24"/>
      <c r="U194" s="29"/>
      <c r="V194" s="29"/>
    </row>
    <row r="195" spans="1:22" x14ac:dyDescent="0.2">
      <c r="A195" s="2"/>
      <c r="B195" s="21"/>
      <c r="E195" s="422"/>
      <c r="F195" s="422"/>
      <c r="G195" s="422"/>
      <c r="H195" s="422"/>
      <c r="I195" s="422"/>
      <c r="J195" s="422"/>
      <c r="K195" s="422"/>
      <c r="L195" s="422"/>
      <c r="M195" s="422"/>
      <c r="N195" s="422"/>
      <c r="O195" s="422"/>
      <c r="P195" s="422"/>
      <c r="Q195" s="29"/>
      <c r="R195" s="24"/>
      <c r="U195" s="29"/>
      <c r="V195" s="29"/>
    </row>
    <row r="196" spans="1:22" x14ac:dyDescent="0.2">
      <c r="A196" s="2"/>
      <c r="B196" s="21"/>
      <c r="E196" s="422"/>
      <c r="F196" s="422"/>
      <c r="G196" s="422"/>
      <c r="H196" s="422"/>
      <c r="I196" s="422"/>
      <c r="J196" s="422"/>
      <c r="K196" s="422"/>
      <c r="L196" s="422"/>
      <c r="M196" s="422"/>
      <c r="N196" s="422"/>
      <c r="O196" s="422"/>
      <c r="P196" s="422"/>
      <c r="Q196" s="29"/>
      <c r="R196" s="24"/>
      <c r="U196" s="29"/>
      <c r="V196" s="29"/>
    </row>
    <row r="197" spans="1:22" x14ac:dyDescent="0.2">
      <c r="A197" s="2"/>
      <c r="B197" s="21"/>
      <c r="E197" s="422"/>
      <c r="F197" s="422"/>
      <c r="G197" s="422"/>
      <c r="H197" s="422"/>
      <c r="I197" s="422"/>
      <c r="J197" s="422"/>
      <c r="K197" s="422"/>
      <c r="L197" s="422"/>
      <c r="M197" s="422"/>
      <c r="N197" s="422"/>
      <c r="O197" s="422"/>
      <c r="P197" s="422"/>
      <c r="Q197" s="29"/>
      <c r="R197" s="24"/>
      <c r="U197" s="29"/>
      <c r="V197" s="29"/>
    </row>
    <row r="198" spans="1:22" x14ac:dyDescent="0.2">
      <c r="A198" s="2"/>
      <c r="B198" s="21"/>
      <c r="E198" s="422"/>
      <c r="F198" s="422"/>
      <c r="G198" s="422"/>
      <c r="H198" s="422"/>
      <c r="I198" s="422"/>
      <c r="J198" s="422"/>
      <c r="K198" s="422"/>
      <c r="L198" s="422"/>
      <c r="M198" s="422"/>
      <c r="N198" s="422"/>
      <c r="O198" s="422"/>
      <c r="P198" s="422"/>
      <c r="Q198" s="29"/>
      <c r="R198" s="24"/>
      <c r="U198" s="29"/>
      <c r="V198" s="29"/>
    </row>
    <row r="199" spans="1:22" x14ac:dyDescent="0.2">
      <c r="A199" s="2"/>
      <c r="B199" s="21"/>
      <c r="E199" s="422"/>
      <c r="F199" s="422"/>
      <c r="G199" s="422"/>
      <c r="H199" s="422"/>
      <c r="I199" s="422"/>
      <c r="J199" s="422"/>
      <c r="K199" s="422"/>
      <c r="L199" s="422"/>
      <c r="M199" s="422"/>
      <c r="N199" s="422"/>
      <c r="O199" s="422"/>
      <c r="P199" s="422"/>
      <c r="Q199" s="29"/>
      <c r="R199" s="24"/>
      <c r="U199" s="29"/>
      <c r="V199" s="29"/>
    </row>
    <row r="200" spans="1:22" x14ac:dyDescent="0.2">
      <c r="A200" s="2"/>
      <c r="B200" s="21"/>
      <c r="E200" s="422"/>
      <c r="F200" s="422"/>
      <c r="G200" s="422"/>
      <c r="H200" s="422"/>
      <c r="I200" s="422"/>
      <c r="J200" s="422"/>
      <c r="K200" s="422"/>
      <c r="L200" s="422"/>
      <c r="M200" s="422"/>
      <c r="N200" s="422"/>
      <c r="O200" s="422"/>
      <c r="P200" s="422"/>
      <c r="Q200" s="29"/>
      <c r="R200" s="24"/>
      <c r="U200" s="29"/>
      <c r="V200" s="29"/>
    </row>
    <row r="201" spans="1:22" x14ac:dyDescent="0.2">
      <c r="A201" s="2"/>
      <c r="B201" s="21"/>
      <c r="E201" s="422"/>
      <c r="F201" s="422"/>
      <c r="G201" s="422"/>
      <c r="H201" s="422"/>
      <c r="I201" s="422"/>
      <c r="J201" s="422"/>
      <c r="K201" s="422"/>
      <c r="L201" s="422"/>
      <c r="M201" s="422"/>
      <c r="N201" s="422"/>
      <c r="O201" s="422"/>
      <c r="P201" s="422"/>
      <c r="Q201" s="29"/>
      <c r="R201" s="24"/>
      <c r="U201" s="29"/>
      <c r="V201" s="29"/>
    </row>
    <row r="202" spans="1:22" x14ac:dyDescent="0.2">
      <c r="A202" s="2"/>
      <c r="B202" s="21"/>
      <c r="E202" s="422"/>
      <c r="F202" s="422"/>
      <c r="G202" s="422"/>
      <c r="H202" s="422"/>
      <c r="I202" s="422"/>
      <c r="J202" s="422"/>
      <c r="K202" s="422"/>
      <c r="L202" s="422"/>
      <c r="M202" s="422"/>
      <c r="N202" s="422"/>
      <c r="O202" s="422"/>
      <c r="P202" s="422"/>
      <c r="Q202" s="29"/>
      <c r="R202" s="24"/>
      <c r="U202" s="29"/>
      <c r="V202" s="29"/>
    </row>
    <row r="203" spans="1:22" x14ac:dyDescent="0.2">
      <c r="A203" s="2"/>
      <c r="B203" s="21"/>
      <c r="E203" s="422"/>
      <c r="F203" s="422"/>
      <c r="G203" s="422"/>
      <c r="H203" s="422"/>
      <c r="I203" s="422"/>
      <c r="J203" s="422"/>
      <c r="K203" s="422"/>
      <c r="L203" s="422"/>
      <c r="M203" s="422"/>
      <c r="N203" s="422"/>
      <c r="O203" s="422"/>
      <c r="P203" s="422"/>
      <c r="Q203" s="29"/>
      <c r="R203" s="24"/>
      <c r="U203" s="29"/>
      <c r="V203" s="29"/>
    </row>
    <row r="204" spans="1:22" x14ac:dyDescent="0.2">
      <c r="A204" s="2"/>
      <c r="B204" s="21"/>
      <c r="E204" s="422"/>
      <c r="F204" s="422"/>
      <c r="G204" s="422"/>
      <c r="H204" s="422"/>
      <c r="I204" s="422"/>
      <c r="J204" s="422"/>
      <c r="K204" s="422"/>
      <c r="L204" s="422"/>
      <c r="M204" s="422"/>
      <c r="N204" s="422"/>
      <c r="O204" s="422"/>
      <c r="P204" s="422"/>
      <c r="Q204" s="29"/>
      <c r="R204" s="24"/>
      <c r="U204" s="29"/>
      <c r="V204" s="29"/>
    </row>
    <row r="205" spans="1:22" x14ac:dyDescent="0.2">
      <c r="A205" s="2"/>
      <c r="B205" s="21"/>
      <c r="E205" s="422"/>
      <c r="F205" s="422"/>
      <c r="G205" s="422"/>
      <c r="H205" s="422"/>
      <c r="I205" s="422"/>
      <c r="J205" s="422"/>
      <c r="K205" s="422"/>
      <c r="L205" s="422"/>
      <c r="M205" s="422"/>
      <c r="N205" s="422"/>
      <c r="O205" s="422"/>
      <c r="P205" s="422"/>
      <c r="Q205" s="29"/>
      <c r="R205" s="24"/>
      <c r="U205" s="29"/>
      <c r="V205" s="29"/>
    </row>
    <row r="206" spans="1:22" x14ac:dyDescent="0.2">
      <c r="A206" s="2"/>
      <c r="B206" s="21"/>
      <c r="E206" s="422"/>
      <c r="F206" s="422"/>
      <c r="G206" s="422"/>
      <c r="H206" s="422"/>
      <c r="I206" s="422"/>
      <c r="J206" s="422"/>
      <c r="K206" s="422"/>
      <c r="L206" s="422"/>
      <c r="M206" s="422"/>
      <c r="N206" s="422"/>
      <c r="O206" s="422"/>
      <c r="P206" s="422"/>
      <c r="Q206" s="29"/>
      <c r="R206" s="24"/>
      <c r="U206" s="29"/>
      <c r="V206" s="29"/>
    </row>
    <row r="207" spans="1:22" x14ac:dyDescent="0.2">
      <c r="A207" s="2"/>
      <c r="B207" s="21"/>
      <c r="E207" s="422"/>
      <c r="F207" s="422"/>
      <c r="G207" s="422"/>
      <c r="H207" s="422"/>
      <c r="I207" s="422"/>
      <c r="J207" s="422"/>
      <c r="K207" s="422"/>
      <c r="L207" s="422"/>
      <c r="M207" s="422"/>
      <c r="N207" s="422"/>
      <c r="O207" s="422"/>
      <c r="P207" s="422"/>
      <c r="Q207" s="29"/>
      <c r="R207" s="24"/>
      <c r="U207" s="29"/>
      <c r="V207" s="29"/>
    </row>
    <row r="208" spans="1:22" x14ac:dyDescent="0.2">
      <c r="A208" s="2"/>
      <c r="B208" s="21"/>
      <c r="E208" s="422"/>
      <c r="F208" s="422"/>
      <c r="G208" s="422"/>
      <c r="H208" s="422"/>
      <c r="I208" s="422"/>
      <c r="J208" s="422"/>
      <c r="K208" s="422"/>
      <c r="L208" s="422"/>
      <c r="M208" s="422"/>
      <c r="N208" s="422"/>
      <c r="O208" s="422"/>
      <c r="P208" s="422"/>
      <c r="Q208" s="29"/>
      <c r="R208" s="24"/>
      <c r="U208" s="29"/>
      <c r="V208" s="29"/>
    </row>
    <row r="209" spans="1:22" x14ac:dyDescent="0.2">
      <c r="A209" s="2"/>
      <c r="B209" s="21"/>
      <c r="E209" s="422"/>
      <c r="F209" s="422"/>
      <c r="G209" s="422"/>
      <c r="H209" s="422"/>
      <c r="I209" s="422"/>
      <c r="J209" s="422"/>
      <c r="K209" s="422"/>
      <c r="L209" s="422"/>
      <c r="M209" s="422"/>
      <c r="N209" s="422"/>
      <c r="O209" s="422"/>
      <c r="P209" s="422"/>
      <c r="Q209" s="29"/>
      <c r="R209" s="24"/>
      <c r="U209" s="29"/>
      <c r="V209" s="29"/>
    </row>
    <row r="210" spans="1:22" x14ac:dyDescent="0.2">
      <c r="A210" s="2"/>
      <c r="B210" s="21"/>
      <c r="E210" s="422"/>
      <c r="F210" s="422"/>
      <c r="G210" s="422"/>
      <c r="H210" s="422"/>
      <c r="I210" s="422"/>
      <c r="J210" s="422"/>
      <c r="K210" s="422"/>
      <c r="L210" s="422"/>
      <c r="M210" s="422"/>
      <c r="N210" s="422"/>
      <c r="O210" s="422"/>
      <c r="P210" s="422"/>
      <c r="Q210" s="29"/>
      <c r="R210" s="24"/>
      <c r="U210" s="29"/>
      <c r="V210" s="29"/>
    </row>
    <row r="211" spans="1:22" x14ac:dyDescent="0.2">
      <c r="A211" s="2"/>
      <c r="B211" s="21"/>
      <c r="E211" s="422"/>
      <c r="F211" s="422"/>
      <c r="G211" s="422"/>
      <c r="H211" s="422"/>
      <c r="I211" s="422"/>
      <c r="J211" s="422"/>
      <c r="K211" s="422"/>
      <c r="L211" s="422"/>
      <c r="M211" s="422"/>
      <c r="N211" s="422"/>
      <c r="O211" s="422"/>
      <c r="P211" s="422"/>
      <c r="Q211" s="29"/>
      <c r="R211" s="24"/>
      <c r="U211" s="29"/>
      <c r="V211" s="29"/>
    </row>
    <row r="212" spans="1:22" x14ac:dyDescent="0.2">
      <c r="A212" s="2"/>
      <c r="B212" s="21"/>
      <c r="E212" s="422"/>
      <c r="F212" s="422"/>
      <c r="G212" s="422"/>
      <c r="H212" s="422"/>
      <c r="I212" s="422"/>
      <c r="J212" s="422"/>
      <c r="K212" s="422"/>
      <c r="L212" s="422"/>
      <c r="M212" s="422"/>
      <c r="N212" s="422"/>
      <c r="O212" s="422"/>
      <c r="P212" s="422"/>
      <c r="Q212" s="29"/>
      <c r="R212" s="24"/>
      <c r="U212" s="29"/>
      <c r="V212" s="29"/>
    </row>
    <row r="213" spans="1:22" x14ac:dyDescent="0.2">
      <c r="A213" s="2"/>
      <c r="B213" s="21"/>
      <c r="E213" s="422"/>
      <c r="F213" s="422"/>
      <c r="G213" s="422"/>
      <c r="H213" s="422"/>
      <c r="I213" s="422"/>
      <c r="J213" s="422"/>
      <c r="K213" s="422"/>
      <c r="L213" s="422"/>
      <c r="M213" s="422"/>
      <c r="N213" s="422"/>
      <c r="O213" s="422"/>
      <c r="P213" s="422"/>
      <c r="Q213" s="29"/>
      <c r="R213" s="24"/>
      <c r="U213" s="29"/>
      <c r="V213" s="29"/>
    </row>
    <row r="214" spans="1:22" x14ac:dyDescent="0.2">
      <c r="A214" s="2"/>
      <c r="B214" s="21"/>
      <c r="E214" s="422"/>
      <c r="F214" s="422"/>
      <c r="G214" s="422"/>
      <c r="H214" s="422"/>
      <c r="I214" s="422"/>
      <c r="J214" s="422"/>
      <c r="K214" s="422"/>
      <c r="L214" s="422"/>
      <c r="M214" s="422"/>
      <c r="N214" s="422"/>
      <c r="O214" s="422"/>
      <c r="P214" s="422"/>
      <c r="Q214" s="29"/>
      <c r="R214" s="24"/>
      <c r="U214" s="29"/>
      <c r="V214" s="29"/>
    </row>
    <row r="215" spans="1:22" x14ac:dyDescent="0.2">
      <c r="A215" s="2"/>
      <c r="B215" s="21"/>
      <c r="E215" s="422"/>
      <c r="F215" s="422"/>
      <c r="G215" s="422"/>
      <c r="H215" s="422"/>
      <c r="I215" s="422"/>
      <c r="J215" s="422"/>
      <c r="K215" s="422"/>
      <c r="L215" s="422"/>
      <c r="M215" s="422"/>
      <c r="N215" s="422"/>
      <c r="O215" s="422"/>
      <c r="P215" s="422"/>
      <c r="Q215" s="29"/>
      <c r="R215" s="24"/>
      <c r="U215" s="29"/>
      <c r="V215" s="29"/>
    </row>
    <row r="216" spans="1:22" x14ac:dyDescent="0.2">
      <c r="A216" s="2"/>
      <c r="B216" s="21"/>
      <c r="E216" s="422"/>
      <c r="F216" s="422"/>
      <c r="G216" s="422"/>
      <c r="H216" s="422"/>
      <c r="I216" s="422"/>
      <c r="J216" s="422"/>
      <c r="K216" s="422"/>
      <c r="L216" s="422"/>
      <c r="M216" s="422"/>
      <c r="N216" s="422"/>
      <c r="O216" s="422"/>
      <c r="P216" s="422"/>
      <c r="Q216" s="29"/>
      <c r="R216" s="24"/>
      <c r="U216" s="29"/>
      <c r="V216" s="29"/>
    </row>
    <row r="217" spans="1:22" x14ac:dyDescent="0.2">
      <c r="A217" s="2"/>
      <c r="B217" s="21"/>
      <c r="E217" s="422"/>
      <c r="F217" s="422"/>
      <c r="G217" s="422"/>
      <c r="H217" s="422"/>
      <c r="I217" s="422"/>
      <c r="J217" s="422"/>
      <c r="K217" s="422"/>
      <c r="L217" s="422"/>
      <c r="M217" s="422"/>
      <c r="N217" s="422"/>
      <c r="O217" s="422"/>
      <c r="P217" s="422"/>
      <c r="Q217" s="29"/>
      <c r="R217" s="24"/>
      <c r="U217" s="29"/>
      <c r="V217" s="29"/>
    </row>
    <row r="218" spans="1:22" x14ac:dyDescent="0.2">
      <c r="A218" s="2"/>
      <c r="B218" s="21"/>
      <c r="E218" s="422"/>
      <c r="F218" s="422"/>
      <c r="G218" s="422"/>
      <c r="H218" s="422"/>
      <c r="I218" s="422"/>
      <c r="J218" s="422"/>
      <c r="K218" s="422"/>
      <c r="L218" s="422"/>
      <c r="M218" s="422"/>
      <c r="N218" s="422"/>
      <c r="O218" s="422"/>
      <c r="P218" s="422"/>
      <c r="Q218" s="29"/>
      <c r="R218" s="24"/>
      <c r="U218" s="29"/>
      <c r="V218" s="29"/>
    </row>
    <row r="219" spans="1:22" x14ac:dyDescent="0.2">
      <c r="A219" s="2"/>
      <c r="B219" s="21"/>
      <c r="E219" s="422"/>
      <c r="F219" s="422"/>
      <c r="G219" s="422"/>
      <c r="H219" s="422"/>
      <c r="I219" s="422"/>
      <c r="J219" s="422"/>
      <c r="K219" s="422"/>
      <c r="L219" s="422"/>
      <c r="M219" s="422"/>
      <c r="N219" s="422"/>
      <c r="O219" s="422"/>
      <c r="P219" s="422"/>
      <c r="Q219" s="29"/>
      <c r="R219" s="24"/>
      <c r="U219" s="29"/>
      <c r="V219" s="29"/>
    </row>
    <row r="220" spans="1:22" x14ac:dyDescent="0.2">
      <c r="A220" s="2"/>
      <c r="B220" s="21"/>
      <c r="E220" s="422"/>
      <c r="F220" s="422"/>
      <c r="G220" s="422"/>
      <c r="H220" s="422"/>
      <c r="I220" s="422"/>
      <c r="J220" s="422"/>
      <c r="K220" s="422"/>
      <c r="L220" s="422"/>
      <c r="M220" s="422"/>
      <c r="N220" s="422"/>
      <c r="O220" s="422"/>
      <c r="P220" s="422"/>
      <c r="Q220" s="29"/>
      <c r="R220" s="24"/>
      <c r="U220" s="29"/>
      <c r="V220" s="29"/>
    </row>
    <row r="221" spans="1:22" x14ac:dyDescent="0.2">
      <c r="A221" s="2"/>
      <c r="B221" s="21"/>
      <c r="E221" s="422"/>
      <c r="F221" s="422"/>
      <c r="G221" s="422"/>
      <c r="H221" s="422"/>
      <c r="I221" s="422"/>
      <c r="J221" s="422"/>
      <c r="K221" s="422"/>
      <c r="L221" s="422"/>
      <c r="M221" s="422"/>
      <c r="N221" s="422"/>
      <c r="O221" s="422"/>
      <c r="P221" s="422"/>
      <c r="Q221" s="29"/>
      <c r="R221" s="24"/>
      <c r="U221" s="29"/>
      <c r="V221" s="29"/>
    </row>
    <row r="222" spans="1:22" x14ac:dyDescent="0.2">
      <c r="A222" s="2"/>
      <c r="B222" s="21"/>
      <c r="E222" s="422"/>
      <c r="F222" s="422"/>
      <c r="G222" s="422"/>
      <c r="H222" s="422"/>
      <c r="I222" s="422"/>
      <c r="J222" s="422"/>
      <c r="K222" s="422"/>
      <c r="L222" s="422"/>
      <c r="M222" s="422"/>
      <c r="N222" s="422"/>
      <c r="O222" s="422"/>
      <c r="P222" s="422"/>
      <c r="Q222" s="29"/>
      <c r="R222" s="24"/>
      <c r="U222" s="29"/>
      <c r="V222" s="29"/>
    </row>
    <row r="223" spans="1:22" x14ac:dyDescent="0.2">
      <c r="A223" s="2"/>
      <c r="B223" s="21"/>
      <c r="E223" s="422"/>
      <c r="F223" s="422"/>
      <c r="G223" s="422"/>
      <c r="H223" s="422"/>
      <c r="I223" s="422"/>
      <c r="J223" s="422"/>
      <c r="K223" s="422"/>
      <c r="L223" s="422"/>
      <c r="M223" s="422"/>
      <c r="N223" s="422"/>
      <c r="O223" s="422"/>
      <c r="P223" s="422"/>
      <c r="Q223" s="29"/>
      <c r="R223" s="24"/>
      <c r="U223" s="29"/>
      <c r="V223" s="29"/>
    </row>
    <row r="224" spans="1:22" x14ac:dyDescent="0.2">
      <c r="A224" s="2"/>
      <c r="B224" s="21"/>
      <c r="E224" s="422"/>
      <c r="F224" s="422"/>
      <c r="G224" s="422"/>
      <c r="H224" s="422"/>
      <c r="I224" s="422"/>
      <c r="J224" s="422"/>
      <c r="K224" s="422"/>
      <c r="L224" s="422"/>
      <c r="M224" s="422"/>
      <c r="N224" s="422"/>
      <c r="O224" s="422"/>
      <c r="P224" s="422"/>
      <c r="Q224" s="29"/>
      <c r="R224" s="24"/>
      <c r="U224" s="29"/>
      <c r="V224" s="29"/>
    </row>
    <row r="225" spans="1:22" x14ac:dyDescent="0.2">
      <c r="A225" s="2"/>
      <c r="B225" s="21"/>
      <c r="E225" s="422"/>
      <c r="F225" s="422"/>
      <c r="G225" s="422"/>
      <c r="H225" s="422"/>
      <c r="I225" s="422"/>
      <c r="J225" s="422"/>
      <c r="K225" s="422"/>
      <c r="L225" s="422"/>
      <c r="M225" s="422"/>
      <c r="N225" s="422"/>
      <c r="O225" s="422"/>
      <c r="P225" s="422"/>
      <c r="Q225" s="29"/>
      <c r="R225" s="24"/>
      <c r="U225" s="29"/>
      <c r="V225" s="29"/>
    </row>
    <row r="226" spans="1:22" x14ac:dyDescent="0.2">
      <c r="A226" s="2"/>
      <c r="B226" s="21"/>
      <c r="E226" s="422"/>
      <c r="F226" s="422"/>
      <c r="G226" s="422"/>
      <c r="H226" s="422"/>
      <c r="I226" s="422"/>
      <c r="J226" s="422"/>
      <c r="K226" s="422"/>
      <c r="L226" s="422"/>
      <c r="M226" s="422"/>
      <c r="N226" s="422"/>
      <c r="O226" s="422"/>
      <c r="P226" s="422"/>
      <c r="Q226" s="29"/>
      <c r="R226" s="24"/>
      <c r="U226" s="29"/>
      <c r="V226" s="29"/>
    </row>
    <row r="227" spans="1:22" x14ac:dyDescent="0.2">
      <c r="A227" s="2"/>
      <c r="B227" s="21"/>
      <c r="E227" s="422"/>
      <c r="F227" s="422"/>
      <c r="G227" s="422"/>
      <c r="H227" s="422"/>
      <c r="I227" s="422"/>
      <c r="J227" s="422"/>
      <c r="K227" s="422"/>
      <c r="L227" s="422"/>
      <c r="M227" s="422"/>
      <c r="N227" s="422"/>
      <c r="O227" s="422"/>
      <c r="P227" s="422"/>
      <c r="Q227" s="29"/>
      <c r="R227" s="24"/>
      <c r="U227" s="29"/>
      <c r="V227" s="29"/>
    </row>
    <row r="228" spans="1:22" x14ac:dyDescent="0.2">
      <c r="A228" s="2"/>
      <c r="B228" s="21"/>
      <c r="E228" s="422"/>
      <c r="F228" s="422"/>
      <c r="G228" s="422"/>
      <c r="H228" s="422"/>
      <c r="I228" s="422"/>
      <c r="J228" s="422"/>
      <c r="K228" s="422"/>
      <c r="L228" s="422"/>
      <c r="M228" s="422"/>
      <c r="N228" s="422"/>
      <c r="O228" s="422"/>
      <c r="P228" s="422"/>
      <c r="Q228" s="29"/>
      <c r="R228" s="24"/>
      <c r="U228" s="29"/>
      <c r="V228" s="29"/>
    </row>
    <row r="229" spans="1:22" x14ac:dyDescent="0.2">
      <c r="A229" s="2"/>
      <c r="B229" s="21"/>
      <c r="E229" s="422"/>
      <c r="F229" s="422"/>
      <c r="G229" s="422"/>
      <c r="H229" s="422"/>
      <c r="I229" s="422"/>
      <c r="J229" s="422"/>
      <c r="K229" s="422"/>
      <c r="L229" s="422"/>
      <c r="M229" s="422"/>
      <c r="N229" s="422"/>
      <c r="O229" s="422"/>
      <c r="P229" s="422"/>
      <c r="Q229" s="29"/>
      <c r="R229" s="24"/>
      <c r="U229" s="29"/>
      <c r="V229" s="29"/>
    </row>
    <row r="230" spans="1:22" x14ac:dyDescent="0.2">
      <c r="A230" s="2"/>
      <c r="B230" s="21"/>
      <c r="E230" s="422"/>
      <c r="F230" s="422"/>
      <c r="G230" s="422"/>
      <c r="H230" s="422"/>
      <c r="I230" s="422"/>
      <c r="J230" s="422"/>
      <c r="K230" s="422"/>
      <c r="L230" s="422"/>
      <c r="M230" s="422"/>
      <c r="N230" s="422"/>
      <c r="O230" s="422"/>
      <c r="P230" s="422"/>
      <c r="Q230" s="29"/>
      <c r="R230" s="24"/>
      <c r="U230" s="29"/>
      <c r="V230" s="29"/>
    </row>
    <row r="231" spans="1:22" x14ac:dyDescent="0.2">
      <c r="A231" s="2"/>
      <c r="B231" s="21"/>
      <c r="E231" s="422"/>
      <c r="F231" s="422"/>
      <c r="G231" s="422"/>
      <c r="H231" s="422"/>
      <c r="I231" s="422"/>
      <c r="J231" s="422"/>
      <c r="K231" s="422"/>
      <c r="L231" s="422"/>
      <c r="M231" s="422"/>
      <c r="N231" s="422"/>
      <c r="O231" s="422"/>
      <c r="P231" s="422"/>
      <c r="Q231" s="29"/>
      <c r="R231" s="24"/>
      <c r="U231" s="29"/>
      <c r="V231" s="29"/>
    </row>
    <row r="232" spans="1:22" x14ac:dyDescent="0.2">
      <c r="A232" s="2"/>
      <c r="B232" s="21"/>
      <c r="E232" s="422"/>
      <c r="F232" s="422"/>
      <c r="G232" s="422"/>
      <c r="H232" s="422"/>
      <c r="I232" s="422"/>
      <c r="J232" s="422"/>
      <c r="K232" s="422"/>
      <c r="L232" s="422"/>
      <c r="M232" s="422"/>
      <c r="N232" s="422"/>
      <c r="O232" s="422"/>
      <c r="P232" s="422"/>
      <c r="Q232" s="29"/>
      <c r="R232" s="24"/>
      <c r="U232" s="29"/>
      <c r="V232" s="29"/>
    </row>
    <row r="233" spans="1:22" x14ac:dyDescent="0.2">
      <c r="A233" s="2"/>
      <c r="B233" s="21"/>
      <c r="E233" s="422"/>
      <c r="F233" s="422"/>
      <c r="G233" s="422"/>
      <c r="H233" s="422"/>
      <c r="I233" s="422"/>
      <c r="J233" s="422"/>
      <c r="K233" s="422"/>
      <c r="L233" s="422"/>
      <c r="M233" s="422"/>
      <c r="N233" s="422"/>
      <c r="O233" s="422"/>
      <c r="P233" s="422"/>
      <c r="Q233" s="29"/>
      <c r="R233" s="24"/>
      <c r="U233" s="29"/>
      <c r="V233" s="29"/>
    </row>
    <row r="234" spans="1:22" x14ac:dyDescent="0.2">
      <c r="A234" s="2"/>
      <c r="B234" s="21"/>
      <c r="E234" s="422"/>
      <c r="F234" s="422"/>
      <c r="G234" s="422"/>
      <c r="H234" s="422"/>
      <c r="I234" s="422"/>
      <c r="J234" s="422"/>
      <c r="K234" s="422"/>
      <c r="L234" s="422"/>
      <c r="M234" s="422"/>
      <c r="N234" s="422"/>
      <c r="O234" s="422"/>
      <c r="P234" s="422"/>
      <c r="Q234" s="29"/>
      <c r="R234" s="24"/>
      <c r="U234" s="29"/>
      <c r="V234" s="29"/>
    </row>
    <row r="235" spans="1:22" x14ac:dyDescent="0.2">
      <c r="A235" s="2"/>
      <c r="B235" s="21"/>
      <c r="E235" s="422"/>
      <c r="F235" s="422"/>
      <c r="G235" s="422"/>
      <c r="H235" s="422"/>
      <c r="I235" s="422"/>
      <c r="J235" s="422"/>
      <c r="K235" s="422"/>
      <c r="L235" s="422"/>
      <c r="M235" s="422"/>
      <c r="N235" s="422"/>
      <c r="O235" s="422"/>
      <c r="P235" s="422"/>
      <c r="Q235" s="29"/>
      <c r="R235" s="24"/>
      <c r="U235" s="29"/>
      <c r="V235" s="29"/>
    </row>
    <row r="236" spans="1:22" x14ac:dyDescent="0.2">
      <c r="A236" s="2"/>
      <c r="B236" s="21"/>
      <c r="E236" s="422"/>
      <c r="F236" s="422"/>
      <c r="G236" s="422"/>
      <c r="H236" s="422"/>
      <c r="I236" s="422"/>
      <c r="J236" s="422"/>
      <c r="K236" s="422"/>
      <c r="L236" s="422"/>
      <c r="M236" s="422"/>
      <c r="N236" s="422"/>
      <c r="O236" s="422"/>
      <c r="P236" s="422"/>
      <c r="Q236" s="29"/>
      <c r="R236" s="24"/>
      <c r="U236" s="29"/>
      <c r="V236" s="29"/>
    </row>
    <row r="237" spans="1:22" x14ac:dyDescent="0.2">
      <c r="A237" s="2"/>
      <c r="B237" s="21"/>
      <c r="E237" s="422"/>
      <c r="F237" s="422"/>
      <c r="G237" s="422"/>
      <c r="H237" s="422"/>
      <c r="I237" s="422"/>
      <c r="J237" s="422"/>
      <c r="K237" s="422"/>
      <c r="L237" s="422"/>
      <c r="M237" s="422"/>
      <c r="N237" s="422"/>
      <c r="O237" s="422"/>
      <c r="P237" s="422"/>
      <c r="Q237" s="29"/>
      <c r="R237" s="24"/>
      <c r="U237" s="29"/>
      <c r="V237" s="29"/>
    </row>
    <row r="238" spans="1:22" x14ac:dyDescent="0.2">
      <c r="A238" s="2"/>
      <c r="B238" s="21"/>
      <c r="E238" s="422"/>
      <c r="F238" s="422"/>
      <c r="G238" s="422"/>
      <c r="H238" s="422"/>
      <c r="I238" s="422"/>
      <c r="J238" s="422"/>
      <c r="K238" s="422"/>
      <c r="L238" s="422"/>
      <c r="M238" s="422"/>
      <c r="N238" s="422"/>
      <c r="O238" s="422"/>
      <c r="P238" s="422"/>
      <c r="Q238" s="29"/>
      <c r="R238" s="24"/>
      <c r="U238" s="29"/>
      <c r="V238" s="29"/>
    </row>
    <row r="239" spans="1:22" x14ac:dyDescent="0.2">
      <c r="A239" s="2"/>
      <c r="B239" s="21"/>
      <c r="E239" s="422"/>
      <c r="F239" s="422"/>
      <c r="G239" s="422"/>
      <c r="H239" s="422"/>
      <c r="I239" s="422"/>
      <c r="J239" s="422"/>
      <c r="K239" s="422"/>
      <c r="L239" s="422"/>
      <c r="M239" s="422"/>
      <c r="N239" s="422"/>
      <c r="O239" s="422"/>
      <c r="P239" s="422"/>
      <c r="Q239" s="29"/>
      <c r="R239" s="24"/>
      <c r="U239" s="29"/>
      <c r="V239" s="29"/>
    </row>
    <row r="240" spans="1:22" x14ac:dyDescent="0.2">
      <c r="A240" s="2"/>
      <c r="B240" s="21"/>
      <c r="E240" s="422"/>
      <c r="F240" s="422"/>
      <c r="G240" s="422"/>
      <c r="H240" s="422"/>
      <c r="I240" s="422"/>
      <c r="J240" s="422"/>
      <c r="K240" s="422"/>
      <c r="L240" s="422"/>
      <c r="M240" s="422"/>
      <c r="N240" s="422"/>
      <c r="O240" s="422"/>
      <c r="P240" s="422"/>
      <c r="Q240" s="29"/>
      <c r="R240" s="24"/>
      <c r="U240" s="29"/>
      <c r="V240" s="29"/>
    </row>
    <row r="241" spans="1:22" x14ac:dyDescent="0.2">
      <c r="A241" s="2"/>
      <c r="B241" s="21"/>
      <c r="E241" s="422"/>
      <c r="F241" s="422"/>
      <c r="G241" s="422"/>
      <c r="H241" s="422"/>
      <c r="I241" s="422"/>
      <c r="J241" s="422"/>
      <c r="K241" s="422"/>
      <c r="L241" s="422"/>
      <c r="M241" s="422"/>
      <c r="N241" s="422"/>
      <c r="O241" s="422"/>
      <c r="P241" s="422"/>
      <c r="Q241" s="29"/>
      <c r="R241" s="24"/>
      <c r="U241" s="29"/>
      <c r="V241" s="29"/>
    </row>
    <row r="242" spans="1:22" x14ac:dyDescent="0.2">
      <c r="A242" s="2"/>
      <c r="B242" s="21"/>
      <c r="E242" s="422"/>
      <c r="F242" s="422"/>
      <c r="G242" s="422"/>
      <c r="H242" s="422"/>
      <c r="I242" s="422"/>
      <c r="J242" s="422"/>
      <c r="K242" s="422"/>
      <c r="L242" s="422"/>
      <c r="M242" s="422"/>
      <c r="N242" s="422"/>
      <c r="O242" s="422"/>
      <c r="P242" s="422"/>
      <c r="Q242" s="29"/>
      <c r="R242" s="24"/>
      <c r="U242" s="29"/>
      <c r="V242" s="29"/>
    </row>
    <row r="243" spans="1:22" x14ac:dyDescent="0.2">
      <c r="A243" s="2"/>
      <c r="B243" s="21"/>
      <c r="E243" s="422"/>
      <c r="F243" s="422"/>
      <c r="G243" s="422"/>
      <c r="H243" s="422"/>
      <c r="I243" s="422"/>
      <c r="J243" s="422"/>
      <c r="K243" s="422"/>
      <c r="L243" s="422"/>
      <c r="M243" s="422"/>
      <c r="N243" s="422"/>
      <c r="O243" s="422"/>
      <c r="P243" s="422"/>
      <c r="Q243" s="29"/>
      <c r="R243" s="24"/>
      <c r="U243" s="29"/>
      <c r="V243" s="29"/>
    </row>
    <row r="244" spans="1:22" x14ac:dyDescent="0.2">
      <c r="A244" s="2"/>
      <c r="B244" s="21"/>
      <c r="E244" s="422"/>
      <c r="F244" s="422"/>
      <c r="G244" s="422"/>
      <c r="H244" s="422"/>
      <c r="I244" s="422"/>
      <c r="J244" s="422"/>
      <c r="K244" s="422"/>
      <c r="L244" s="422"/>
      <c r="M244" s="422"/>
      <c r="N244" s="422"/>
      <c r="O244" s="422"/>
      <c r="P244" s="422"/>
      <c r="Q244" s="29"/>
      <c r="R244" s="24"/>
      <c r="U244" s="29"/>
      <c r="V244" s="29"/>
    </row>
    <row r="245" spans="1:22" x14ac:dyDescent="0.2">
      <c r="A245" s="2"/>
      <c r="B245" s="21"/>
      <c r="E245" s="422"/>
      <c r="F245" s="422"/>
      <c r="G245" s="422"/>
      <c r="H245" s="422"/>
      <c r="I245" s="422"/>
      <c r="J245" s="422"/>
      <c r="K245" s="422"/>
      <c r="L245" s="422"/>
      <c r="M245" s="422"/>
      <c r="N245" s="422"/>
      <c r="O245" s="422"/>
      <c r="P245" s="422"/>
      <c r="Q245" s="29"/>
      <c r="R245" s="24"/>
      <c r="U245" s="29"/>
      <c r="V245" s="29"/>
    </row>
    <row r="246" spans="1:22" x14ac:dyDescent="0.2">
      <c r="A246" s="2"/>
      <c r="B246" s="21"/>
      <c r="E246" s="422"/>
      <c r="F246" s="422"/>
      <c r="G246" s="422"/>
      <c r="H246" s="422"/>
      <c r="I246" s="422"/>
      <c r="J246" s="422"/>
      <c r="K246" s="422"/>
      <c r="L246" s="422"/>
      <c r="M246" s="422"/>
      <c r="N246" s="422"/>
      <c r="O246" s="422"/>
      <c r="P246" s="422"/>
      <c r="Q246" s="29"/>
      <c r="R246" s="24"/>
      <c r="U246" s="29"/>
      <c r="V246" s="29"/>
    </row>
    <row r="247" spans="1:22" x14ac:dyDescent="0.2">
      <c r="A247" s="2"/>
      <c r="B247" s="21"/>
      <c r="E247" s="422"/>
      <c r="F247" s="422"/>
      <c r="G247" s="422"/>
      <c r="H247" s="422"/>
      <c r="I247" s="422"/>
      <c r="J247" s="422"/>
      <c r="K247" s="422"/>
      <c r="L247" s="422"/>
      <c r="M247" s="422"/>
      <c r="N247" s="422"/>
      <c r="O247" s="422"/>
      <c r="P247" s="422"/>
      <c r="Q247" s="29"/>
      <c r="R247" s="24"/>
      <c r="U247" s="29"/>
      <c r="V247" s="29"/>
    </row>
    <row r="248" spans="1:22" x14ac:dyDescent="0.2">
      <c r="A248" s="2"/>
      <c r="B248" s="21"/>
      <c r="E248" s="422"/>
      <c r="F248" s="422"/>
      <c r="G248" s="422"/>
      <c r="H248" s="422"/>
      <c r="I248" s="422"/>
      <c r="J248" s="422"/>
      <c r="K248" s="422"/>
      <c r="L248" s="422"/>
      <c r="M248" s="422"/>
      <c r="N248" s="422"/>
      <c r="O248" s="422"/>
      <c r="P248" s="422"/>
      <c r="Q248" s="29"/>
      <c r="R248" s="24"/>
      <c r="U248" s="29"/>
      <c r="V248" s="29"/>
    </row>
    <row r="249" spans="1:22" x14ac:dyDescent="0.2">
      <c r="A249" s="2"/>
      <c r="B249" s="21"/>
      <c r="E249" s="422"/>
      <c r="F249" s="422"/>
      <c r="G249" s="422"/>
      <c r="H249" s="422"/>
      <c r="I249" s="422"/>
      <c r="J249" s="422"/>
      <c r="K249" s="422"/>
      <c r="L249" s="422"/>
      <c r="M249" s="422"/>
      <c r="N249" s="422"/>
      <c r="O249" s="422"/>
      <c r="P249" s="422"/>
      <c r="Q249" s="29"/>
      <c r="R249" s="24"/>
      <c r="U249" s="29"/>
      <c r="V249" s="29"/>
    </row>
    <row r="250" spans="1:22" x14ac:dyDescent="0.2">
      <c r="A250" s="2"/>
      <c r="B250" s="21"/>
      <c r="E250" s="422"/>
      <c r="F250" s="422"/>
      <c r="G250" s="422"/>
      <c r="H250" s="422"/>
      <c r="I250" s="422"/>
      <c r="J250" s="422"/>
      <c r="K250" s="422"/>
      <c r="L250" s="422"/>
      <c r="M250" s="422"/>
      <c r="N250" s="422"/>
      <c r="O250" s="422"/>
      <c r="P250" s="422"/>
      <c r="Q250" s="29"/>
      <c r="R250" s="24"/>
      <c r="U250" s="29"/>
      <c r="V250" s="29"/>
    </row>
    <row r="251" spans="1:22" x14ac:dyDescent="0.2">
      <c r="A251" s="2"/>
      <c r="B251" s="21"/>
      <c r="E251" s="422"/>
      <c r="F251" s="422"/>
      <c r="G251" s="422"/>
      <c r="H251" s="422"/>
      <c r="I251" s="422"/>
      <c r="J251" s="422"/>
      <c r="K251" s="422"/>
      <c r="L251" s="422"/>
      <c r="M251" s="422"/>
      <c r="N251" s="422"/>
      <c r="O251" s="422"/>
      <c r="P251" s="422"/>
      <c r="Q251" s="29"/>
      <c r="R251" s="24"/>
      <c r="U251" s="29"/>
      <c r="V251" s="29"/>
    </row>
    <row r="252" spans="1:22" x14ac:dyDescent="0.2">
      <c r="A252" s="2"/>
      <c r="B252" s="21"/>
      <c r="E252" s="422"/>
      <c r="F252" s="422"/>
      <c r="G252" s="422"/>
      <c r="H252" s="422"/>
      <c r="I252" s="422"/>
      <c r="J252" s="422"/>
      <c r="K252" s="422"/>
      <c r="L252" s="422"/>
      <c r="M252" s="422"/>
      <c r="N252" s="422"/>
      <c r="O252" s="422"/>
      <c r="P252" s="422"/>
      <c r="Q252" s="29"/>
      <c r="R252" s="24"/>
      <c r="U252" s="29"/>
      <c r="V252" s="29"/>
    </row>
    <row r="253" spans="1:22" x14ac:dyDescent="0.2">
      <c r="A253" s="2"/>
      <c r="B253" s="21"/>
      <c r="E253" s="422"/>
      <c r="F253" s="422"/>
      <c r="G253" s="422"/>
      <c r="H253" s="422"/>
      <c r="I253" s="422"/>
      <c r="J253" s="422"/>
      <c r="K253" s="422"/>
      <c r="L253" s="422"/>
      <c r="M253" s="422"/>
      <c r="N253" s="422"/>
      <c r="O253" s="422"/>
      <c r="P253" s="422"/>
      <c r="Q253" s="29"/>
      <c r="R253" s="24"/>
      <c r="U253" s="29"/>
      <c r="V253" s="29"/>
    </row>
    <row r="254" spans="1:22" x14ac:dyDescent="0.2">
      <c r="A254" s="2"/>
      <c r="B254" s="21"/>
      <c r="E254" s="422"/>
      <c r="F254" s="422"/>
      <c r="G254" s="422"/>
      <c r="H254" s="422"/>
      <c r="I254" s="422"/>
      <c r="J254" s="422"/>
      <c r="K254" s="422"/>
      <c r="L254" s="422"/>
      <c r="M254" s="422"/>
      <c r="N254" s="422"/>
      <c r="O254" s="422"/>
      <c r="P254" s="422"/>
      <c r="Q254" s="29"/>
      <c r="R254" s="24"/>
      <c r="U254" s="29"/>
      <c r="V254" s="29"/>
    </row>
    <row r="255" spans="1:22" x14ac:dyDescent="0.2">
      <c r="A255" s="2"/>
      <c r="B255" s="21"/>
      <c r="E255" s="422"/>
      <c r="F255" s="422"/>
      <c r="G255" s="422"/>
      <c r="H255" s="422"/>
      <c r="I255" s="422"/>
      <c r="J255" s="422"/>
      <c r="K255" s="422"/>
      <c r="L255" s="422"/>
      <c r="M255" s="422"/>
      <c r="N255" s="422"/>
      <c r="O255" s="422"/>
      <c r="P255" s="422"/>
      <c r="Q255" s="29"/>
      <c r="R255" s="24"/>
      <c r="U255" s="29"/>
      <c r="V255" s="29"/>
    </row>
    <row r="256" spans="1:22" x14ac:dyDescent="0.2">
      <c r="A256" s="2"/>
      <c r="B256" s="21"/>
      <c r="E256" s="422"/>
      <c r="F256" s="422"/>
      <c r="G256" s="422"/>
      <c r="H256" s="422"/>
      <c r="I256" s="422"/>
      <c r="J256" s="422"/>
      <c r="K256" s="422"/>
      <c r="L256" s="422"/>
      <c r="M256" s="422"/>
      <c r="N256" s="422"/>
      <c r="O256" s="422"/>
      <c r="P256" s="422"/>
      <c r="Q256" s="29"/>
      <c r="R256" s="24"/>
      <c r="U256" s="29"/>
      <c r="V256" s="29"/>
    </row>
    <row r="257" spans="1:22" x14ac:dyDescent="0.2">
      <c r="A257" s="2"/>
      <c r="B257" s="21"/>
      <c r="E257" s="422"/>
      <c r="F257" s="422"/>
      <c r="G257" s="422"/>
      <c r="H257" s="422"/>
      <c r="I257" s="422"/>
      <c r="J257" s="422"/>
      <c r="K257" s="422"/>
      <c r="L257" s="422"/>
      <c r="M257" s="422"/>
      <c r="N257" s="422"/>
      <c r="O257" s="422"/>
      <c r="P257" s="422"/>
      <c r="Q257" s="29"/>
      <c r="R257" s="24"/>
      <c r="U257" s="29"/>
      <c r="V257" s="29"/>
    </row>
    <row r="258" spans="1:22" x14ac:dyDescent="0.2">
      <c r="A258" s="2"/>
      <c r="B258" s="21"/>
      <c r="E258" s="422"/>
      <c r="F258" s="422"/>
      <c r="G258" s="422"/>
      <c r="H258" s="422"/>
      <c r="I258" s="422"/>
      <c r="J258" s="422"/>
      <c r="K258" s="422"/>
      <c r="L258" s="422"/>
      <c r="M258" s="422"/>
      <c r="N258" s="422"/>
      <c r="O258" s="422"/>
      <c r="P258" s="422"/>
      <c r="Q258" s="29"/>
      <c r="R258" s="24"/>
      <c r="U258" s="29"/>
      <c r="V258" s="29"/>
    </row>
    <row r="259" spans="1:22" x14ac:dyDescent="0.2">
      <c r="A259" s="2"/>
      <c r="B259" s="21"/>
      <c r="E259" s="422"/>
      <c r="F259" s="422"/>
      <c r="G259" s="422"/>
      <c r="H259" s="422"/>
      <c r="I259" s="422"/>
      <c r="J259" s="422"/>
      <c r="K259" s="422"/>
      <c r="L259" s="422"/>
      <c r="M259" s="422"/>
      <c r="N259" s="422"/>
      <c r="O259" s="422"/>
      <c r="P259" s="422"/>
      <c r="Q259" s="29"/>
      <c r="R259" s="24"/>
      <c r="U259" s="29"/>
      <c r="V259" s="29"/>
    </row>
    <row r="260" spans="1:22" x14ac:dyDescent="0.2">
      <c r="A260" s="2"/>
      <c r="B260" s="21"/>
      <c r="E260" s="422"/>
      <c r="F260" s="422"/>
      <c r="G260" s="422"/>
      <c r="H260" s="422"/>
      <c r="I260" s="422"/>
      <c r="J260" s="422"/>
      <c r="K260" s="422"/>
      <c r="L260" s="422"/>
      <c r="M260" s="422"/>
      <c r="N260" s="422"/>
      <c r="O260" s="422"/>
      <c r="P260" s="422"/>
      <c r="Q260" s="29"/>
      <c r="R260" s="24"/>
      <c r="U260" s="29"/>
      <c r="V260" s="29"/>
    </row>
    <row r="261" spans="1:22" x14ac:dyDescent="0.2">
      <c r="A261" s="2"/>
      <c r="B261" s="21"/>
      <c r="E261" s="422"/>
      <c r="F261" s="422"/>
      <c r="G261" s="422"/>
      <c r="H261" s="422"/>
      <c r="I261" s="422"/>
      <c r="J261" s="422"/>
      <c r="K261" s="422"/>
      <c r="L261" s="422"/>
      <c r="M261" s="422"/>
      <c r="N261" s="422"/>
      <c r="O261" s="422"/>
      <c r="P261" s="422"/>
      <c r="Q261" s="29"/>
      <c r="R261" s="24"/>
      <c r="U261" s="29"/>
      <c r="V261" s="29"/>
    </row>
    <row r="262" spans="1:22" x14ac:dyDescent="0.2">
      <c r="A262" s="2"/>
      <c r="B262" s="21"/>
      <c r="E262" s="422"/>
      <c r="F262" s="422"/>
      <c r="G262" s="422"/>
      <c r="H262" s="422"/>
      <c r="I262" s="422"/>
      <c r="J262" s="422"/>
      <c r="K262" s="422"/>
      <c r="L262" s="422"/>
      <c r="M262" s="422"/>
      <c r="N262" s="422"/>
      <c r="O262" s="422"/>
      <c r="P262" s="422"/>
      <c r="Q262" s="29"/>
      <c r="R262" s="24"/>
      <c r="U262" s="29"/>
      <c r="V262" s="29"/>
    </row>
    <row r="263" spans="1:22" x14ac:dyDescent="0.2">
      <c r="A263" s="2"/>
      <c r="B263" s="21"/>
      <c r="E263" s="422"/>
      <c r="F263" s="422"/>
      <c r="G263" s="422"/>
      <c r="H263" s="422"/>
      <c r="I263" s="422"/>
      <c r="J263" s="422"/>
      <c r="K263" s="422"/>
      <c r="L263" s="422"/>
      <c r="M263" s="422"/>
      <c r="N263" s="422"/>
      <c r="O263" s="422"/>
      <c r="P263" s="422"/>
      <c r="Q263" s="29"/>
      <c r="R263" s="24"/>
      <c r="U263" s="29"/>
      <c r="V263" s="29"/>
    </row>
    <row r="264" spans="1:22" x14ac:dyDescent="0.2">
      <c r="A264" s="2"/>
      <c r="B264" s="21"/>
      <c r="E264" s="422"/>
      <c r="F264" s="422"/>
      <c r="G264" s="422"/>
      <c r="H264" s="422"/>
      <c r="I264" s="422"/>
      <c r="J264" s="422"/>
      <c r="K264" s="422"/>
      <c r="L264" s="422"/>
      <c r="M264" s="422"/>
      <c r="N264" s="422"/>
      <c r="O264" s="422"/>
      <c r="P264" s="422"/>
      <c r="Q264" s="29"/>
      <c r="R264" s="24"/>
      <c r="U264" s="29"/>
      <c r="V264" s="29"/>
    </row>
    <row r="265" spans="1:22" x14ac:dyDescent="0.2">
      <c r="A265" s="2"/>
      <c r="B265" s="21"/>
      <c r="E265" s="422"/>
      <c r="F265" s="422"/>
      <c r="G265" s="422"/>
      <c r="H265" s="422"/>
      <c r="I265" s="422"/>
      <c r="J265" s="422"/>
      <c r="K265" s="422"/>
      <c r="L265" s="422"/>
      <c r="M265" s="422"/>
      <c r="N265" s="422"/>
      <c r="O265" s="422"/>
      <c r="P265" s="422"/>
      <c r="Q265" s="29"/>
      <c r="R265" s="24"/>
      <c r="U265" s="29"/>
      <c r="V265" s="29"/>
    </row>
    <row r="266" spans="1:22" x14ac:dyDescent="0.2">
      <c r="A266" s="2"/>
      <c r="B266" s="21"/>
      <c r="E266" s="422"/>
      <c r="F266" s="422"/>
      <c r="G266" s="422"/>
      <c r="H266" s="422"/>
      <c r="I266" s="422"/>
      <c r="J266" s="422"/>
      <c r="K266" s="422"/>
      <c r="L266" s="422"/>
      <c r="M266" s="422"/>
      <c r="N266" s="422"/>
      <c r="O266" s="422"/>
      <c r="P266" s="422"/>
      <c r="Q266" s="29"/>
      <c r="R266" s="24"/>
      <c r="U266" s="29"/>
      <c r="V266" s="29"/>
    </row>
    <row r="267" spans="1:22" x14ac:dyDescent="0.2">
      <c r="A267" s="2"/>
      <c r="B267" s="21"/>
      <c r="E267" s="422"/>
      <c r="F267" s="422"/>
      <c r="G267" s="422"/>
      <c r="H267" s="422"/>
      <c r="I267" s="422"/>
      <c r="J267" s="422"/>
      <c r="K267" s="422"/>
      <c r="L267" s="422"/>
      <c r="M267" s="422"/>
      <c r="N267" s="422"/>
      <c r="O267" s="422"/>
      <c r="P267" s="422"/>
      <c r="Q267" s="29"/>
      <c r="R267" s="24"/>
      <c r="U267" s="29"/>
      <c r="V267" s="29"/>
    </row>
    <row r="268" spans="1:22" x14ac:dyDescent="0.2">
      <c r="A268" s="2"/>
      <c r="B268" s="21"/>
      <c r="E268" s="422"/>
      <c r="F268" s="422"/>
      <c r="G268" s="422"/>
      <c r="H268" s="422"/>
      <c r="I268" s="422"/>
      <c r="J268" s="422"/>
      <c r="K268" s="422"/>
      <c r="L268" s="422"/>
      <c r="M268" s="422"/>
      <c r="N268" s="422"/>
      <c r="O268" s="422"/>
      <c r="P268" s="422"/>
      <c r="Q268" s="29"/>
      <c r="R268" s="24"/>
      <c r="U268" s="29"/>
      <c r="V268" s="29"/>
    </row>
    <row r="269" spans="1:22" x14ac:dyDescent="0.2">
      <c r="A269" s="2"/>
      <c r="B269" s="21"/>
      <c r="E269" s="422"/>
      <c r="F269" s="422"/>
      <c r="G269" s="422"/>
      <c r="H269" s="422"/>
      <c r="I269" s="422"/>
      <c r="J269" s="422"/>
      <c r="K269" s="422"/>
      <c r="L269" s="422"/>
      <c r="M269" s="422"/>
      <c r="N269" s="422"/>
      <c r="O269" s="422"/>
      <c r="P269" s="422"/>
      <c r="Q269" s="29"/>
      <c r="R269" s="24"/>
      <c r="U269" s="29"/>
      <c r="V269" s="29"/>
    </row>
    <row r="270" spans="1:22" x14ac:dyDescent="0.2">
      <c r="A270" s="2"/>
      <c r="B270" s="21"/>
      <c r="E270" s="422"/>
      <c r="F270" s="422"/>
      <c r="G270" s="422"/>
      <c r="H270" s="422"/>
      <c r="I270" s="422"/>
      <c r="J270" s="422"/>
      <c r="K270" s="422"/>
      <c r="L270" s="422"/>
      <c r="M270" s="422"/>
      <c r="N270" s="422"/>
      <c r="O270" s="422"/>
      <c r="P270" s="422"/>
      <c r="Q270" s="29"/>
      <c r="R270" s="24"/>
      <c r="U270" s="29"/>
      <c r="V270" s="29"/>
    </row>
    <row r="271" spans="1:22" x14ac:dyDescent="0.2">
      <c r="A271" s="2"/>
      <c r="B271" s="21"/>
      <c r="E271" s="422"/>
      <c r="F271" s="422"/>
      <c r="G271" s="422"/>
      <c r="H271" s="422"/>
      <c r="I271" s="422"/>
      <c r="J271" s="422"/>
      <c r="K271" s="422"/>
      <c r="L271" s="422"/>
      <c r="M271" s="422"/>
      <c r="N271" s="422"/>
      <c r="O271" s="422"/>
      <c r="P271" s="422"/>
      <c r="Q271" s="29"/>
      <c r="R271" s="24"/>
      <c r="U271" s="29"/>
      <c r="V271" s="29"/>
    </row>
    <row r="272" spans="1:22" x14ac:dyDescent="0.2">
      <c r="A272" s="2"/>
      <c r="B272" s="21"/>
      <c r="E272" s="422"/>
      <c r="F272" s="422"/>
      <c r="G272" s="422"/>
      <c r="H272" s="422"/>
      <c r="I272" s="422"/>
      <c r="J272" s="422"/>
      <c r="K272" s="422"/>
      <c r="L272" s="422"/>
      <c r="M272" s="422"/>
      <c r="N272" s="422"/>
      <c r="O272" s="422"/>
      <c r="P272" s="422"/>
      <c r="Q272" s="29"/>
      <c r="R272" s="24"/>
      <c r="U272" s="29"/>
      <c r="V272" s="29"/>
    </row>
    <row r="273" spans="1:22" x14ac:dyDescent="0.2">
      <c r="A273" s="2"/>
      <c r="B273" s="21"/>
      <c r="E273" s="422"/>
      <c r="F273" s="422"/>
      <c r="G273" s="422"/>
      <c r="H273" s="422"/>
      <c r="I273" s="422"/>
      <c r="J273" s="422"/>
      <c r="K273" s="422"/>
      <c r="L273" s="422"/>
      <c r="M273" s="422"/>
      <c r="N273" s="422"/>
      <c r="O273" s="422"/>
      <c r="P273" s="422"/>
      <c r="Q273" s="29"/>
      <c r="R273" s="24"/>
      <c r="U273" s="29"/>
      <c r="V273" s="29"/>
    </row>
    <row r="274" spans="1:22" x14ac:dyDescent="0.2">
      <c r="A274" s="2"/>
      <c r="B274" s="21"/>
      <c r="E274" s="422"/>
      <c r="F274" s="422"/>
      <c r="G274" s="422"/>
      <c r="H274" s="422"/>
      <c r="I274" s="422"/>
      <c r="J274" s="422"/>
      <c r="K274" s="422"/>
      <c r="L274" s="422"/>
      <c r="M274" s="422"/>
      <c r="N274" s="422"/>
      <c r="O274" s="422"/>
      <c r="P274" s="422"/>
      <c r="Q274" s="29"/>
      <c r="R274" s="24"/>
      <c r="U274" s="29"/>
      <c r="V274" s="29"/>
    </row>
    <row r="275" spans="1:22" x14ac:dyDescent="0.2">
      <c r="A275" s="2"/>
      <c r="B275" s="21"/>
      <c r="E275" s="422"/>
      <c r="F275" s="422"/>
      <c r="G275" s="422"/>
      <c r="H275" s="422"/>
      <c r="I275" s="422"/>
      <c r="J275" s="422"/>
      <c r="K275" s="422"/>
      <c r="L275" s="422"/>
      <c r="M275" s="422"/>
      <c r="N275" s="422"/>
      <c r="O275" s="422"/>
      <c r="P275" s="422"/>
      <c r="Q275" s="29"/>
      <c r="R275" s="24"/>
      <c r="U275" s="29"/>
      <c r="V275" s="29"/>
    </row>
    <row r="276" spans="1:22" x14ac:dyDescent="0.2">
      <c r="A276" s="2"/>
      <c r="B276" s="21"/>
      <c r="E276" s="422"/>
      <c r="F276" s="422"/>
      <c r="G276" s="422"/>
      <c r="H276" s="422"/>
      <c r="I276" s="422"/>
      <c r="J276" s="422"/>
      <c r="K276" s="422"/>
      <c r="L276" s="422"/>
      <c r="M276" s="422"/>
      <c r="N276" s="422"/>
      <c r="O276" s="422"/>
      <c r="P276" s="422"/>
      <c r="Q276" s="29"/>
      <c r="R276" s="24"/>
      <c r="U276" s="29"/>
      <c r="V276" s="29"/>
    </row>
    <row r="277" spans="1:22" x14ac:dyDescent="0.2">
      <c r="A277" s="2"/>
      <c r="B277" s="21"/>
      <c r="E277" s="422"/>
      <c r="F277" s="422"/>
      <c r="G277" s="422"/>
      <c r="H277" s="422"/>
      <c r="I277" s="422"/>
      <c r="J277" s="422"/>
      <c r="K277" s="422"/>
      <c r="L277" s="422"/>
      <c r="M277" s="422"/>
      <c r="N277" s="422"/>
      <c r="O277" s="422"/>
      <c r="P277" s="422"/>
      <c r="Q277" s="29"/>
      <c r="R277" s="24"/>
      <c r="U277" s="29"/>
      <c r="V277" s="29"/>
    </row>
    <row r="278" spans="1:22" x14ac:dyDescent="0.2">
      <c r="A278" s="2"/>
      <c r="B278" s="21"/>
      <c r="E278" s="422"/>
      <c r="F278" s="422"/>
      <c r="G278" s="422"/>
      <c r="H278" s="422"/>
      <c r="I278" s="422"/>
      <c r="J278" s="422"/>
      <c r="K278" s="422"/>
      <c r="L278" s="422"/>
      <c r="M278" s="422"/>
      <c r="N278" s="422"/>
      <c r="O278" s="422"/>
      <c r="P278" s="422"/>
      <c r="Q278" s="29"/>
      <c r="R278" s="24"/>
      <c r="U278" s="29"/>
      <c r="V278" s="29"/>
    </row>
    <row r="279" spans="1:22" x14ac:dyDescent="0.2">
      <c r="A279" s="2"/>
      <c r="B279" s="21"/>
      <c r="E279" s="422"/>
      <c r="F279" s="422"/>
      <c r="G279" s="422"/>
      <c r="H279" s="422"/>
      <c r="I279" s="422"/>
      <c r="J279" s="422"/>
      <c r="K279" s="422"/>
      <c r="L279" s="422"/>
      <c r="M279" s="422"/>
      <c r="N279" s="422"/>
      <c r="O279" s="422"/>
      <c r="P279" s="422"/>
      <c r="Q279" s="29"/>
      <c r="R279" s="24"/>
      <c r="U279" s="29"/>
      <c r="V279" s="29"/>
    </row>
    <row r="280" spans="1:22" x14ac:dyDescent="0.2">
      <c r="A280" s="2"/>
      <c r="B280" s="21"/>
      <c r="E280" s="422"/>
      <c r="F280" s="422"/>
      <c r="G280" s="422"/>
      <c r="H280" s="422"/>
      <c r="I280" s="422"/>
      <c r="J280" s="422"/>
      <c r="K280" s="422"/>
      <c r="L280" s="422"/>
      <c r="M280" s="422"/>
      <c r="N280" s="422"/>
      <c r="O280" s="422"/>
      <c r="P280" s="422"/>
      <c r="Q280" s="29"/>
      <c r="R280" s="24"/>
      <c r="U280" s="29"/>
      <c r="V280" s="29"/>
    </row>
    <row r="281" spans="1:22" x14ac:dyDescent="0.2">
      <c r="A281" s="2"/>
      <c r="B281" s="21"/>
      <c r="E281" s="422"/>
      <c r="F281" s="422"/>
      <c r="G281" s="422"/>
      <c r="H281" s="422"/>
      <c r="I281" s="422"/>
      <c r="J281" s="422"/>
      <c r="K281" s="422"/>
      <c r="L281" s="422"/>
      <c r="M281" s="422"/>
      <c r="N281" s="422"/>
      <c r="O281" s="422"/>
      <c r="P281" s="422"/>
      <c r="Q281" s="29"/>
      <c r="R281" s="24"/>
      <c r="U281" s="29"/>
      <c r="V281" s="29"/>
    </row>
    <row r="282" spans="1:22" x14ac:dyDescent="0.2">
      <c r="A282" s="2"/>
      <c r="B282" s="21"/>
      <c r="E282" s="422"/>
      <c r="F282" s="422"/>
      <c r="G282" s="422"/>
      <c r="H282" s="422"/>
      <c r="I282" s="422"/>
      <c r="J282" s="422"/>
      <c r="K282" s="422"/>
      <c r="L282" s="422"/>
      <c r="M282" s="422"/>
      <c r="N282" s="422"/>
      <c r="O282" s="422"/>
      <c r="P282" s="422"/>
      <c r="Q282" s="29"/>
      <c r="R282" s="24"/>
      <c r="U282" s="29"/>
      <c r="V282" s="29"/>
    </row>
    <row r="283" spans="1:22" x14ac:dyDescent="0.2">
      <c r="A283" s="2"/>
      <c r="B283" s="21"/>
      <c r="E283" s="422"/>
      <c r="F283" s="422"/>
      <c r="G283" s="422"/>
      <c r="H283" s="422"/>
      <c r="I283" s="422"/>
      <c r="J283" s="422"/>
      <c r="K283" s="422"/>
      <c r="L283" s="422"/>
      <c r="M283" s="422"/>
      <c r="N283" s="422"/>
      <c r="O283" s="422"/>
      <c r="P283" s="422"/>
      <c r="Q283" s="29"/>
      <c r="R283" s="24"/>
      <c r="U283" s="29"/>
      <c r="V283" s="29"/>
    </row>
    <row r="284" spans="1:22" x14ac:dyDescent="0.2">
      <c r="A284" s="2"/>
      <c r="B284" s="21"/>
      <c r="E284" s="422"/>
      <c r="F284" s="422"/>
      <c r="G284" s="422"/>
      <c r="H284" s="422"/>
      <c r="I284" s="422"/>
      <c r="J284" s="422"/>
      <c r="K284" s="422"/>
      <c r="L284" s="422"/>
      <c r="M284" s="422"/>
      <c r="N284" s="422"/>
      <c r="O284" s="422"/>
      <c r="P284" s="422"/>
      <c r="Q284" s="29"/>
      <c r="R284" s="24"/>
      <c r="U284" s="29"/>
      <c r="V284" s="29"/>
    </row>
    <row r="285" spans="1:22" x14ac:dyDescent="0.2">
      <c r="A285" s="2"/>
      <c r="B285" s="21"/>
      <c r="E285" s="422"/>
      <c r="F285" s="422"/>
      <c r="G285" s="422"/>
      <c r="H285" s="422"/>
      <c r="I285" s="422"/>
      <c r="J285" s="422"/>
      <c r="K285" s="422"/>
      <c r="L285" s="422"/>
      <c r="M285" s="422"/>
      <c r="N285" s="422"/>
      <c r="O285" s="422"/>
      <c r="P285" s="422"/>
      <c r="Q285" s="29"/>
      <c r="R285" s="24"/>
      <c r="U285" s="29"/>
      <c r="V285" s="29"/>
    </row>
    <row r="286" spans="1:22" x14ac:dyDescent="0.2">
      <c r="A286" s="2"/>
      <c r="B286" s="21"/>
      <c r="E286" s="422"/>
      <c r="F286" s="422"/>
      <c r="G286" s="422"/>
      <c r="H286" s="422"/>
      <c r="I286" s="422"/>
      <c r="J286" s="422"/>
      <c r="K286" s="422"/>
      <c r="L286" s="422"/>
      <c r="M286" s="422"/>
      <c r="N286" s="422"/>
      <c r="O286" s="422"/>
      <c r="P286" s="422"/>
      <c r="Q286" s="29"/>
      <c r="R286" s="24"/>
      <c r="U286" s="29"/>
      <c r="V286" s="29"/>
    </row>
    <row r="287" spans="1:22" x14ac:dyDescent="0.2">
      <c r="A287" s="2"/>
      <c r="B287" s="21"/>
      <c r="E287" s="422"/>
      <c r="F287" s="422"/>
      <c r="G287" s="422"/>
      <c r="H287" s="422"/>
      <c r="I287" s="422"/>
      <c r="J287" s="422"/>
      <c r="K287" s="422"/>
      <c r="L287" s="422"/>
      <c r="M287" s="422"/>
      <c r="N287" s="422"/>
      <c r="O287" s="422"/>
      <c r="P287" s="422"/>
      <c r="Q287" s="29"/>
      <c r="R287" s="24"/>
      <c r="U287" s="29"/>
      <c r="V287" s="29"/>
    </row>
    <row r="288" spans="1:22" x14ac:dyDescent="0.2">
      <c r="A288" s="2"/>
      <c r="B288" s="21"/>
      <c r="E288" s="422"/>
      <c r="F288" s="422"/>
      <c r="G288" s="422"/>
      <c r="H288" s="422"/>
      <c r="I288" s="422"/>
      <c r="J288" s="422"/>
      <c r="K288" s="422"/>
      <c r="L288" s="422"/>
      <c r="M288" s="422"/>
      <c r="N288" s="422"/>
      <c r="O288" s="422"/>
      <c r="P288" s="422"/>
      <c r="Q288" s="29"/>
      <c r="R288" s="24"/>
      <c r="U288" s="29"/>
      <c r="V288" s="29"/>
    </row>
    <row r="289" spans="1:22" x14ac:dyDescent="0.2">
      <c r="A289" s="2"/>
      <c r="B289" s="21"/>
      <c r="E289" s="422"/>
      <c r="F289" s="422"/>
      <c r="G289" s="422"/>
      <c r="H289" s="422"/>
      <c r="I289" s="422"/>
      <c r="J289" s="422"/>
      <c r="K289" s="422"/>
      <c r="L289" s="422"/>
      <c r="M289" s="422"/>
      <c r="N289" s="422"/>
      <c r="O289" s="422"/>
      <c r="P289" s="422"/>
      <c r="Q289" s="29"/>
      <c r="R289" s="24"/>
      <c r="U289" s="29"/>
      <c r="V289" s="29"/>
    </row>
    <row r="290" spans="1:22" x14ac:dyDescent="0.2">
      <c r="A290" s="2"/>
      <c r="B290" s="21"/>
      <c r="E290" s="422"/>
      <c r="F290" s="422"/>
      <c r="G290" s="422"/>
      <c r="H290" s="422"/>
      <c r="I290" s="422"/>
      <c r="J290" s="422"/>
      <c r="K290" s="422"/>
      <c r="L290" s="422"/>
      <c r="M290" s="422"/>
      <c r="N290" s="422"/>
      <c r="O290" s="422"/>
      <c r="P290" s="422"/>
      <c r="Q290" s="29"/>
      <c r="R290" s="24"/>
      <c r="U290" s="29"/>
      <c r="V290" s="29"/>
    </row>
    <row r="291" spans="1:22" x14ac:dyDescent="0.2">
      <c r="A291" s="2"/>
      <c r="B291" s="21"/>
      <c r="E291" s="422"/>
      <c r="F291" s="422"/>
      <c r="G291" s="422"/>
      <c r="H291" s="422"/>
      <c r="I291" s="422"/>
      <c r="J291" s="422"/>
      <c r="K291" s="422"/>
      <c r="L291" s="422"/>
      <c r="M291" s="422"/>
      <c r="N291" s="422"/>
      <c r="O291" s="422"/>
      <c r="P291" s="422"/>
      <c r="Q291" s="29"/>
      <c r="R291" s="24"/>
      <c r="U291" s="29"/>
      <c r="V291" s="29"/>
    </row>
    <row r="292" spans="1:22" x14ac:dyDescent="0.2">
      <c r="A292" s="2"/>
      <c r="B292" s="21"/>
      <c r="E292" s="422"/>
      <c r="F292" s="422"/>
      <c r="G292" s="422"/>
      <c r="H292" s="422"/>
      <c r="I292" s="422"/>
      <c r="J292" s="422"/>
      <c r="K292" s="422"/>
      <c r="L292" s="422"/>
      <c r="M292" s="422"/>
      <c r="N292" s="422"/>
      <c r="O292" s="422"/>
      <c r="P292" s="422"/>
      <c r="Q292" s="29"/>
      <c r="R292" s="24"/>
      <c r="U292" s="29"/>
      <c r="V292" s="29"/>
    </row>
    <row r="293" spans="1:22" x14ac:dyDescent="0.2">
      <c r="A293" s="2"/>
      <c r="B293" s="21"/>
      <c r="E293" s="422"/>
      <c r="F293" s="422"/>
      <c r="G293" s="422"/>
      <c r="H293" s="422"/>
      <c r="I293" s="422"/>
      <c r="J293" s="422"/>
      <c r="K293" s="422"/>
      <c r="L293" s="422"/>
      <c r="M293" s="422"/>
      <c r="N293" s="422"/>
      <c r="O293" s="422"/>
      <c r="P293" s="422"/>
      <c r="Q293" s="29"/>
      <c r="R293" s="24"/>
      <c r="U293" s="29"/>
      <c r="V293" s="29"/>
    </row>
    <row r="294" spans="1:22" x14ac:dyDescent="0.2">
      <c r="A294" s="2"/>
      <c r="B294" s="21"/>
      <c r="E294" s="422"/>
      <c r="F294" s="422"/>
      <c r="G294" s="422"/>
      <c r="H294" s="422"/>
      <c r="I294" s="422"/>
      <c r="J294" s="422"/>
      <c r="K294" s="422"/>
      <c r="L294" s="422"/>
      <c r="M294" s="422"/>
      <c r="N294" s="422"/>
      <c r="O294" s="422"/>
      <c r="P294" s="422"/>
      <c r="Q294" s="29"/>
      <c r="R294" s="24"/>
      <c r="U294" s="29"/>
      <c r="V294" s="29"/>
    </row>
    <row r="295" spans="1:22" x14ac:dyDescent="0.2">
      <c r="A295" s="2"/>
      <c r="B295" s="21"/>
      <c r="E295" s="422"/>
      <c r="F295" s="422"/>
      <c r="G295" s="422"/>
      <c r="H295" s="422"/>
      <c r="I295" s="422"/>
      <c r="J295" s="422"/>
      <c r="K295" s="422"/>
      <c r="L295" s="422"/>
      <c r="M295" s="422"/>
      <c r="N295" s="422"/>
      <c r="O295" s="422"/>
      <c r="P295" s="422"/>
      <c r="Q295" s="29"/>
      <c r="R295" s="24"/>
      <c r="U295" s="29"/>
      <c r="V295" s="29"/>
    </row>
    <row r="296" spans="1:22" x14ac:dyDescent="0.2">
      <c r="A296" s="2"/>
      <c r="B296" s="21"/>
      <c r="E296" s="422"/>
      <c r="F296" s="422"/>
      <c r="G296" s="422"/>
      <c r="H296" s="422"/>
      <c r="I296" s="422"/>
      <c r="J296" s="422"/>
      <c r="K296" s="422"/>
      <c r="L296" s="422"/>
      <c r="M296" s="422"/>
      <c r="N296" s="422"/>
      <c r="O296" s="422"/>
      <c r="P296" s="422"/>
      <c r="Q296" s="29"/>
      <c r="R296" s="24"/>
      <c r="U296" s="29"/>
      <c r="V296" s="29"/>
    </row>
    <row r="297" spans="1:22" x14ac:dyDescent="0.2">
      <c r="A297" s="2"/>
      <c r="B297" s="21"/>
      <c r="E297" s="422"/>
      <c r="F297" s="422"/>
      <c r="G297" s="422"/>
      <c r="H297" s="422"/>
      <c r="I297" s="422"/>
      <c r="J297" s="422"/>
      <c r="K297" s="422"/>
      <c r="L297" s="422"/>
      <c r="M297" s="422"/>
      <c r="N297" s="422"/>
      <c r="O297" s="422"/>
      <c r="P297" s="422"/>
      <c r="Q297" s="29"/>
      <c r="R297" s="24"/>
      <c r="U297" s="29"/>
      <c r="V297" s="29"/>
    </row>
    <row r="298" spans="1:22" x14ac:dyDescent="0.2">
      <c r="A298" s="2"/>
      <c r="B298" s="21"/>
      <c r="E298" s="422"/>
      <c r="F298" s="422"/>
      <c r="G298" s="422"/>
      <c r="H298" s="422"/>
      <c r="I298" s="422"/>
      <c r="J298" s="422"/>
      <c r="K298" s="422"/>
      <c r="L298" s="422"/>
      <c r="M298" s="422"/>
      <c r="N298" s="422"/>
      <c r="O298" s="422"/>
      <c r="P298" s="422"/>
      <c r="Q298" s="29"/>
      <c r="R298" s="24"/>
      <c r="U298" s="29"/>
      <c r="V298" s="29"/>
    </row>
    <row r="299" spans="1:22" x14ac:dyDescent="0.2">
      <c r="A299" s="2"/>
      <c r="B299" s="21"/>
      <c r="E299" s="422"/>
      <c r="F299" s="422"/>
      <c r="G299" s="422"/>
      <c r="H299" s="422"/>
      <c r="I299" s="422"/>
      <c r="J299" s="422"/>
      <c r="K299" s="422"/>
      <c r="L299" s="422"/>
      <c r="M299" s="422"/>
      <c r="N299" s="422"/>
      <c r="O299" s="422"/>
      <c r="P299" s="422"/>
      <c r="Q299" s="29"/>
      <c r="R299" s="24"/>
      <c r="U299" s="29"/>
      <c r="V299" s="29"/>
    </row>
    <row r="300" spans="1:22" x14ac:dyDescent="0.2">
      <c r="A300" s="2"/>
      <c r="B300" s="21"/>
      <c r="E300" s="422"/>
      <c r="F300" s="422"/>
      <c r="G300" s="422"/>
      <c r="H300" s="422"/>
      <c r="I300" s="422"/>
      <c r="J300" s="422"/>
      <c r="K300" s="422"/>
      <c r="L300" s="422"/>
      <c r="M300" s="422"/>
      <c r="N300" s="422"/>
      <c r="O300" s="422"/>
      <c r="P300" s="422"/>
      <c r="Q300" s="29"/>
      <c r="R300" s="24"/>
      <c r="U300" s="29"/>
      <c r="V300" s="29"/>
    </row>
    <row r="301" spans="1:22" x14ac:dyDescent="0.2">
      <c r="A301" s="2"/>
      <c r="B301" s="21"/>
      <c r="E301" s="422"/>
      <c r="F301" s="422"/>
      <c r="G301" s="422"/>
      <c r="H301" s="422"/>
      <c r="I301" s="422"/>
      <c r="J301" s="422"/>
      <c r="K301" s="422"/>
      <c r="L301" s="422"/>
      <c r="M301" s="422"/>
      <c r="N301" s="422"/>
      <c r="O301" s="422"/>
      <c r="P301" s="422"/>
      <c r="Q301" s="29"/>
      <c r="R301" s="24"/>
      <c r="U301" s="29"/>
      <c r="V301" s="29"/>
    </row>
    <row r="302" spans="1:22" x14ac:dyDescent="0.2">
      <c r="A302" s="2"/>
      <c r="B302" s="21"/>
      <c r="E302" s="422"/>
      <c r="F302" s="422"/>
      <c r="G302" s="422"/>
      <c r="H302" s="422"/>
      <c r="I302" s="422"/>
      <c r="J302" s="422"/>
      <c r="K302" s="422"/>
      <c r="L302" s="422"/>
      <c r="M302" s="422"/>
      <c r="N302" s="422"/>
      <c r="O302" s="422"/>
      <c r="P302" s="422"/>
      <c r="Q302" s="29"/>
      <c r="R302" s="24"/>
      <c r="U302" s="29"/>
      <c r="V302" s="29"/>
    </row>
    <row r="303" spans="1:22" x14ac:dyDescent="0.2">
      <c r="A303" s="2"/>
      <c r="B303" s="21"/>
      <c r="E303" s="422"/>
      <c r="F303" s="422"/>
      <c r="G303" s="422"/>
      <c r="H303" s="422"/>
      <c r="I303" s="422"/>
      <c r="J303" s="422"/>
      <c r="K303" s="422"/>
      <c r="L303" s="422"/>
      <c r="M303" s="422"/>
      <c r="N303" s="422"/>
      <c r="O303" s="422"/>
      <c r="P303" s="422"/>
      <c r="Q303" s="29"/>
      <c r="R303" s="24"/>
      <c r="U303" s="29"/>
      <c r="V303" s="29"/>
    </row>
    <row r="304" spans="1:22" x14ac:dyDescent="0.2">
      <c r="A304" s="2"/>
      <c r="B304" s="21"/>
      <c r="E304" s="422"/>
      <c r="F304" s="422"/>
      <c r="G304" s="422"/>
      <c r="H304" s="422"/>
      <c r="I304" s="422"/>
      <c r="J304" s="422"/>
      <c r="K304" s="422"/>
      <c r="L304" s="422"/>
      <c r="M304" s="422"/>
      <c r="N304" s="422"/>
      <c r="O304" s="422"/>
      <c r="P304" s="422"/>
      <c r="Q304" s="29"/>
      <c r="R304" s="24"/>
      <c r="U304" s="29"/>
      <c r="V304" s="29"/>
    </row>
    <row r="305" spans="1:22" x14ac:dyDescent="0.2">
      <c r="A305" s="2"/>
      <c r="B305" s="21"/>
      <c r="E305" s="422"/>
      <c r="F305" s="422"/>
      <c r="G305" s="422"/>
      <c r="H305" s="422"/>
      <c r="I305" s="422"/>
      <c r="J305" s="422"/>
      <c r="K305" s="422"/>
      <c r="L305" s="422"/>
      <c r="M305" s="422"/>
      <c r="N305" s="422"/>
      <c r="O305" s="422"/>
      <c r="P305" s="422"/>
      <c r="Q305" s="29"/>
      <c r="R305" s="24"/>
      <c r="U305" s="29"/>
      <c r="V305" s="29"/>
    </row>
    <row r="306" spans="1:22" x14ac:dyDescent="0.2">
      <c r="A306" s="2"/>
      <c r="B306" s="21"/>
      <c r="E306" s="422"/>
      <c r="F306" s="422"/>
      <c r="G306" s="422"/>
      <c r="H306" s="422"/>
      <c r="I306" s="422"/>
      <c r="J306" s="422"/>
      <c r="K306" s="422"/>
      <c r="L306" s="422"/>
      <c r="M306" s="422"/>
      <c r="N306" s="422"/>
      <c r="O306" s="422"/>
      <c r="P306" s="422"/>
      <c r="Q306" s="29"/>
      <c r="R306" s="24"/>
      <c r="U306" s="29"/>
      <c r="V306" s="29"/>
    </row>
    <row r="307" spans="1:22" x14ac:dyDescent="0.2">
      <c r="A307" s="2"/>
      <c r="B307" s="21"/>
      <c r="E307" s="422"/>
      <c r="F307" s="422"/>
      <c r="G307" s="422"/>
      <c r="H307" s="422"/>
      <c r="I307" s="422"/>
      <c r="J307" s="422"/>
      <c r="K307" s="422"/>
      <c r="L307" s="422"/>
      <c r="M307" s="422"/>
      <c r="N307" s="422"/>
      <c r="O307" s="422"/>
      <c r="P307" s="422"/>
      <c r="Q307" s="29"/>
      <c r="R307" s="24"/>
      <c r="U307" s="29"/>
      <c r="V307" s="29"/>
    </row>
    <row r="308" spans="1:22" x14ac:dyDescent="0.2">
      <c r="A308" s="2"/>
      <c r="B308" s="21"/>
      <c r="E308" s="422"/>
      <c r="F308" s="422"/>
      <c r="G308" s="422"/>
      <c r="H308" s="422"/>
      <c r="I308" s="422"/>
      <c r="J308" s="422"/>
      <c r="K308" s="422"/>
      <c r="L308" s="422"/>
      <c r="M308" s="422"/>
      <c r="N308" s="422"/>
      <c r="O308" s="422"/>
      <c r="P308" s="422"/>
      <c r="Q308" s="29"/>
      <c r="R308" s="24"/>
      <c r="U308" s="29"/>
      <c r="V308" s="29"/>
    </row>
    <row r="309" spans="1:22" x14ac:dyDescent="0.2">
      <c r="A309" s="2"/>
      <c r="B309" s="21"/>
      <c r="E309" s="422"/>
      <c r="F309" s="422"/>
      <c r="G309" s="422"/>
      <c r="H309" s="422"/>
      <c r="I309" s="422"/>
      <c r="J309" s="422"/>
      <c r="K309" s="422"/>
      <c r="L309" s="422"/>
      <c r="M309" s="422"/>
      <c r="N309" s="422"/>
      <c r="O309" s="422"/>
      <c r="P309" s="422"/>
      <c r="Q309" s="29"/>
      <c r="R309" s="24"/>
      <c r="U309" s="29"/>
      <c r="V309" s="29"/>
    </row>
    <row r="310" spans="1:22" x14ac:dyDescent="0.2">
      <c r="A310" s="2"/>
      <c r="B310" s="21"/>
      <c r="E310" s="422"/>
      <c r="F310" s="422"/>
      <c r="G310" s="422"/>
      <c r="H310" s="422"/>
      <c r="I310" s="422"/>
      <c r="J310" s="422"/>
      <c r="K310" s="422"/>
      <c r="L310" s="422"/>
      <c r="M310" s="422"/>
      <c r="N310" s="422"/>
      <c r="O310" s="422"/>
      <c r="P310" s="422"/>
      <c r="Q310" s="29"/>
      <c r="R310" s="24"/>
      <c r="U310" s="29"/>
      <c r="V310" s="29"/>
    </row>
    <row r="311" spans="1:22" x14ac:dyDescent="0.2">
      <c r="A311" s="2"/>
      <c r="B311" s="21"/>
      <c r="E311" s="422"/>
      <c r="F311" s="422"/>
      <c r="G311" s="422"/>
      <c r="H311" s="422"/>
      <c r="I311" s="422"/>
      <c r="J311" s="422"/>
      <c r="K311" s="422"/>
      <c r="L311" s="422"/>
      <c r="M311" s="422"/>
      <c r="N311" s="422"/>
      <c r="O311" s="422"/>
      <c r="P311" s="422"/>
      <c r="Q311" s="29"/>
      <c r="R311" s="24"/>
      <c r="U311" s="29"/>
      <c r="V311" s="29"/>
    </row>
    <row r="312" spans="1:22" x14ac:dyDescent="0.2">
      <c r="A312" s="2"/>
      <c r="B312" s="21"/>
      <c r="E312" s="422"/>
      <c r="F312" s="422"/>
      <c r="G312" s="422"/>
      <c r="H312" s="422"/>
      <c r="I312" s="422"/>
      <c r="J312" s="422"/>
      <c r="K312" s="422"/>
      <c r="L312" s="422"/>
      <c r="M312" s="422"/>
      <c r="N312" s="422"/>
      <c r="O312" s="422"/>
      <c r="P312" s="422"/>
      <c r="Q312" s="29"/>
      <c r="R312" s="24"/>
      <c r="U312" s="29"/>
      <c r="V312" s="29"/>
    </row>
    <row r="313" spans="1:22" x14ac:dyDescent="0.2">
      <c r="A313" s="2"/>
      <c r="B313" s="21"/>
      <c r="E313" s="422"/>
      <c r="F313" s="422"/>
      <c r="G313" s="422"/>
      <c r="H313" s="422"/>
      <c r="I313" s="422"/>
      <c r="J313" s="422"/>
      <c r="K313" s="422"/>
      <c r="L313" s="422"/>
      <c r="M313" s="422"/>
      <c r="N313" s="422"/>
      <c r="O313" s="422"/>
      <c r="P313" s="422"/>
      <c r="Q313" s="29"/>
      <c r="R313" s="24"/>
      <c r="U313" s="29"/>
      <c r="V313" s="29"/>
    </row>
    <row r="314" spans="1:22" x14ac:dyDescent="0.2">
      <c r="A314" s="2"/>
      <c r="B314" s="21"/>
      <c r="E314" s="422"/>
      <c r="F314" s="422"/>
      <c r="G314" s="422"/>
      <c r="H314" s="422"/>
      <c r="I314" s="422"/>
      <c r="J314" s="422"/>
      <c r="K314" s="422"/>
      <c r="L314" s="422"/>
      <c r="M314" s="422"/>
      <c r="N314" s="422"/>
      <c r="O314" s="422"/>
      <c r="P314" s="422"/>
      <c r="Q314" s="29"/>
      <c r="R314" s="24"/>
      <c r="U314" s="29"/>
      <c r="V314" s="29"/>
    </row>
    <row r="315" spans="1:22" x14ac:dyDescent="0.2">
      <c r="A315" s="2"/>
      <c r="B315" s="21"/>
      <c r="E315" s="422"/>
      <c r="F315" s="422"/>
      <c r="G315" s="422"/>
      <c r="H315" s="422"/>
      <c r="I315" s="422"/>
      <c r="J315" s="422"/>
      <c r="K315" s="422"/>
      <c r="L315" s="422"/>
      <c r="M315" s="422"/>
      <c r="N315" s="422"/>
      <c r="O315" s="422"/>
      <c r="P315" s="422"/>
      <c r="Q315" s="29"/>
      <c r="R315" s="24"/>
      <c r="U315" s="29"/>
      <c r="V315" s="29"/>
    </row>
    <row r="316" spans="1:22" x14ac:dyDescent="0.2">
      <c r="A316" s="2"/>
      <c r="B316" s="21"/>
      <c r="E316" s="422"/>
      <c r="F316" s="422"/>
      <c r="G316" s="422"/>
      <c r="H316" s="422"/>
      <c r="I316" s="422"/>
      <c r="J316" s="422"/>
      <c r="K316" s="422"/>
      <c r="L316" s="422"/>
      <c r="M316" s="422"/>
      <c r="N316" s="422"/>
      <c r="O316" s="422"/>
      <c r="P316" s="422"/>
      <c r="Q316" s="29"/>
      <c r="R316" s="24"/>
      <c r="U316" s="29"/>
      <c r="V316" s="29"/>
    </row>
    <row r="317" spans="1:22" x14ac:dyDescent="0.2">
      <c r="A317" s="2"/>
      <c r="B317" s="21"/>
      <c r="E317" s="422"/>
      <c r="F317" s="422"/>
      <c r="G317" s="422"/>
      <c r="H317" s="422"/>
      <c r="I317" s="422"/>
      <c r="J317" s="422"/>
      <c r="K317" s="422"/>
      <c r="L317" s="422"/>
      <c r="M317" s="422"/>
      <c r="N317" s="422"/>
      <c r="O317" s="422"/>
      <c r="P317" s="422"/>
      <c r="Q317" s="29"/>
      <c r="R317" s="24"/>
      <c r="U317" s="29"/>
      <c r="V317" s="29"/>
    </row>
    <row r="318" spans="1:22" x14ac:dyDescent="0.2">
      <c r="A318" s="2"/>
      <c r="B318" s="21"/>
      <c r="E318" s="422"/>
      <c r="F318" s="422"/>
      <c r="G318" s="422"/>
      <c r="H318" s="422"/>
      <c r="I318" s="422"/>
      <c r="J318" s="422"/>
      <c r="K318" s="422"/>
      <c r="L318" s="422"/>
      <c r="M318" s="422"/>
      <c r="N318" s="422"/>
      <c r="O318" s="422"/>
      <c r="P318" s="422"/>
      <c r="Q318" s="29"/>
      <c r="R318" s="24"/>
      <c r="U318" s="29"/>
      <c r="V318" s="29"/>
    </row>
    <row r="319" spans="1:22" x14ac:dyDescent="0.2">
      <c r="A319" s="2"/>
      <c r="B319" s="21"/>
      <c r="E319" s="422"/>
      <c r="F319" s="422"/>
      <c r="G319" s="422"/>
      <c r="H319" s="422"/>
      <c r="I319" s="422"/>
      <c r="J319" s="422"/>
      <c r="K319" s="422"/>
      <c r="L319" s="422"/>
      <c r="M319" s="422"/>
      <c r="N319" s="422"/>
      <c r="O319" s="422"/>
      <c r="P319" s="422"/>
      <c r="Q319" s="29"/>
      <c r="R319" s="24"/>
      <c r="U319" s="29"/>
      <c r="V319" s="29"/>
    </row>
    <row r="320" spans="1:22" x14ac:dyDescent="0.2">
      <c r="A320" s="2"/>
      <c r="B320" s="21"/>
      <c r="E320" s="422"/>
      <c r="F320" s="422"/>
      <c r="G320" s="422"/>
      <c r="H320" s="422"/>
      <c r="I320" s="422"/>
      <c r="J320" s="422"/>
      <c r="K320" s="422"/>
      <c r="L320" s="422"/>
      <c r="M320" s="422"/>
      <c r="N320" s="422"/>
      <c r="O320" s="422"/>
      <c r="P320" s="422"/>
      <c r="Q320" s="29"/>
      <c r="R320" s="24"/>
      <c r="U320" s="29"/>
      <c r="V320" s="29"/>
    </row>
    <row r="321" spans="1:22" x14ac:dyDescent="0.2">
      <c r="A321" s="2"/>
      <c r="B321" s="21"/>
      <c r="E321" s="422"/>
      <c r="F321" s="422"/>
      <c r="G321" s="422"/>
      <c r="H321" s="422"/>
      <c r="I321" s="422"/>
      <c r="J321" s="422"/>
      <c r="K321" s="422"/>
      <c r="L321" s="422"/>
      <c r="M321" s="422"/>
      <c r="N321" s="422"/>
      <c r="O321" s="422"/>
      <c r="P321" s="422"/>
      <c r="Q321" s="29"/>
      <c r="R321" s="24"/>
      <c r="U321" s="29"/>
      <c r="V321" s="29"/>
    </row>
    <row r="322" spans="1:22" x14ac:dyDescent="0.2">
      <c r="A322" s="2"/>
      <c r="B322" s="21"/>
      <c r="E322" s="422"/>
      <c r="F322" s="422"/>
      <c r="G322" s="422"/>
      <c r="H322" s="422"/>
      <c r="I322" s="422"/>
      <c r="J322" s="422"/>
      <c r="K322" s="422"/>
      <c r="L322" s="422"/>
      <c r="M322" s="422"/>
      <c r="N322" s="422"/>
      <c r="O322" s="422"/>
      <c r="P322" s="422"/>
      <c r="Q322" s="29"/>
      <c r="R322" s="24"/>
      <c r="U322" s="29"/>
      <c r="V322" s="29"/>
    </row>
    <row r="323" spans="1:22" x14ac:dyDescent="0.2">
      <c r="A323" s="2"/>
      <c r="B323" s="21"/>
      <c r="E323" s="422"/>
      <c r="F323" s="422"/>
      <c r="G323" s="422"/>
      <c r="H323" s="422"/>
      <c r="I323" s="422"/>
      <c r="J323" s="422"/>
      <c r="K323" s="422"/>
      <c r="L323" s="422"/>
      <c r="M323" s="422"/>
      <c r="N323" s="422"/>
      <c r="O323" s="422"/>
      <c r="P323" s="422"/>
      <c r="Q323" s="29"/>
      <c r="R323" s="24"/>
      <c r="U323" s="29"/>
      <c r="V323" s="29"/>
    </row>
    <row r="324" spans="1:22" x14ac:dyDescent="0.2">
      <c r="A324" s="2"/>
      <c r="B324" s="21"/>
      <c r="E324" s="422"/>
      <c r="F324" s="422"/>
      <c r="G324" s="422"/>
      <c r="H324" s="422"/>
      <c r="I324" s="422"/>
      <c r="J324" s="422"/>
      <c r="K324" s="422"/>
      <c r="L324" s="422"/>
      <c r="M324" s="422"/>
      <c r="N324" s="422"/>
      <c r="O324" s="422"/>
      <c r="P324" s="422"/>
      <c r="Q324" s="29"/>
      <c r="R324" s="24"/>
      <c r="U324" s="29"/>
      <c r="V324" s="29"/>
    </row>
    <row r="325" spans="1:22" x14ac:dyDescent="0.2">
      <c r="A325" s="2"/>
      <c r="B325" s="21"/>
      <c r="E325" s="422"/>
      <c r="F325" s="422"/>
      <c r="G325" s="422"/>
      <c r="H325" s="422"/>
      <c r="I325" s="422"/>
      <c r="J325" s="422"/>
      <c r="K325" s="422"/>
      <c r="L325" s="422"/>
      <c r="M325" s="422"/>
      <c r="N325" s="422"/>
      <c r="O325" s="422"/>
      <c r="P325" s="422"/>
      <c r="Q325" s="29"/>
      <c r="R325" s="24"/>
      <c r="U325" s="29"/>
      <c r="V325" s="29"/>
    </row>
    <row r="326" spans="1:22" x14ac:dyDescent="0.2">
      <c r="A326" s="2"/>
      <c r="B326" s="21"/>
      <c r="E326" s="422"/>
      <c r="F326" s="422"/>
      <c r="G326" s="422"/>
      <c r="H326" s="422"/>
      <c r="I326" s="422"/>
      <c r="J326" s="422"/>
      <c r="K326" s="422"/>
      <c r="L326" s="422"/>
      <c r="M326" s="422"/>
      <c r="N326" s="422"/>
      <c r="O326" s="422"/>
      <c r="P326" s="422"/>
      <c r="Q326" s="29"/>
      <c r="R326" s="24"/>
      <c r="U326" s="29"/>
      <c r="V326" s="29"/>
    </row>
    <row r="327" spans="1:22" x14ac:dyDescent="0.2">
      <c r="A327" s="2"/>
      <c r="B327" s="21"/>
      <c r="E327" s="422"/>
      <c r="F327" s="422"/>
      <c r="G327" s="422"/>
      <c r="H327" s="422"/>
      <c r="I327" s="422"/>
      <c r="J327" s="422"/>
      <c r="K327" s="422"/>
      <c r="L327" s="422"/>
      <c r="M327" s="422"/>
      <c r="N327" s="422"/>
      <c r="O327" s="422"/>
      <c r="P327" s="422"/>
      <c r="Q327" s="29"/>
      <c r="R327" s="24"/>
      <c r="U327" s="29"/>
      <c r="V327" s="29"/>
    </row>
    <row r="328" spans="1:22" x14ac:dyDescent="0.2">
      <c r="A328" s="2"/>
      <c r="B328" s="21"/>
      <c r="E328" s="422"/>
      <c r="F328" s="422"/>
      <c r="G328" s="422"/>
      <c r="H328" s="422"/>
      <c r="I328" s="422"/>
      <c r="J328" s="422"/>
      <c r="K328" s="422"/>
      <c r="L328" s="422"/>
      <c r="M328" s="422"/>
      <c r="N328" s="422"/>
      <c r="O328" s="422"/>
      <c r="P328" s="422"/>
      <c r="Q328" s="29"/>
      <c r="R328" s="24"/>
      <c r="U328" s="29"/>
      <c r="V328" s="29"/>
    </row>
    <row r="329" spans="1:22" x14ac:dyDescent="0.2">
      <c r="A329" s="2"/>
      <c r="B329" s="21"/>
      <c r="E329" s="422"/>
      <c r="F329" s="422"/>
      <c r="G329" s="422"/>
      <c r="H329" s="422"/>
      <c r="I329" s="422"/>
      <c r="J329" s="422"/>
      <c r="K329" s="422"/>
      <c r="L329" s="422"/>
      <c r="M329" s="422"/>
      <c r="N329" s="422"/>
      <c r="O329" s="422"/>
      <c r="P329" s="422"/>
      <c r="Q329" s="29"/>
      <c r="R329" s="24"/>
      <c r="U329" s="29"/>
      <c r="V329" s="29"/>
    </row>
    <row r="330" spans="1:22" x14ac:dyDescent="0.2">
      <c r="A330" s="2"/>
      <c r="B330" s="21"/>
      <c r="E330" s="422"/>
      <c r="F330" s="422"/>
      <c r="G330" s="422"/>
      <c r="H330" s="422"/>
      <c r="I330" s="422"/>
      <c r="J330" s="422"/>
      <c r="K330" s="422"/>
      <c r="L330" s="422"/>
      <c r="M330" s="422"/>
      <c r="N330" s="422"/>
      <c r="O330" s="422"/>
      <c r="P330" s="422"/>
      <c r="Q330" s="29"/>
      <c r="R330" s="24"/>
      <c r="U330" s="29"/>
      <c r="V330" s="29"/>
    </row>
    <row r="331" spans="1:22" x14ac:dyDescent="0.2">
      <c r="A331" s="2"/>
      <c r="B331" s="21"/>
      <c r="E331" s="422"/>
      <c r="F331" s="422"/>
      <c r="G331" s="422"/>
      <c r="H331" s="422"/>
      <c r="I331" s="422"/>
      <c r="J331" s="422"/>
      <c r="K331" s="422"/>
      <c r="L331" s="422"/>
      <c r="M331" s="422"/>
      <c r="N331" s="422"/>
      <c r="O331" s="422"/>
      <c r="P331" s="422"/>
      <c r="Q331" s="29"/>
      <c r="R331" s="24"/>
      <c r="U331" s="29"/>
      <c r="V331" s="29"/>
    </row>
    <row r="332" spans="1:22" x14ac:dyDescent="0.2">
      <c r="A332" s="2"/>
      <c r="B332" s="21"/>
      <c r="E332" s="422"/>
      <c r="F332" s="422"/>
      <c r="G332" s="422"/>
      <c r="H332" s="422"/>
      <c r="I332" s="422"/>
      <c r="J332" s="422"/>
      <c r="K332" s="422"/>
      <c r="L332" s="422"/>
      <c r="M332" s="422"/>
      <c r="N332" s="422"/>
      <c r="O332" s="422"/>
      <c r="P332" s="422"/>
      <c r="Q332" s="29"/>
      <c r="R332" s="24"/>
      <c r="U332" s="29"/>
      <c r="V332" s="29"/>
    </row>
    <row r="333" spans="1:22" x14ac:dyDescent="0.2">
      <c r="A333" s="2"/>
      <c r="B333" s="21"/>
      <c r="E333" s="422"/>
      <c r="F333" s="422"/>
      <c r="G333" s="422"/>
      <c r="H333" s="422"/>
      <c r="I333" s="422"/>
      <c r="J333" s="422"/>
      <c r="K333" s="422"/>
      <c r="L333" s="422"/>
      <c r="M333" s="422"/>
      <c r="N333" s="422"/>
      <c r="O333" s="422"/>
      <c r="P333" s="422"/>
      <c r="Q333" s="29"/>
      <c r="R333" s="24"/>
      <c r="U333" s="29"/>
      <c r="V333" s="29"/>
    </row>
    <row r="334" spans="1:22" x14ac:dyDescent="0.2">
      <c r="A334" s="2"/>
      <c r="B334" s="21"/>
      <c r="E334" s="422"/>
      <c r="F334" s="422"/>
      <c r="G334" s="422"/>
      <c r="H334" s="422"/>
      <c r="I334" s="422"/>
      <c r="J334" s="422"/>
      <c r="K334" s="422"/>
      <c r="L334" s="422"/>
      <c r="M334" s="422"/>
      <c r="N334" s="422"/>
      <c r="O334" s="422"/>
      <c r="P334" s="422"/>
      <c r="Q334" s="29"/>
      <c r="R334" s="24"/>
      <c r="U334" s="29"/>
      <c r="V334" s="29"/>
    </row>
    <row r="335" spans="1:22" x14ac:dyDescent="0.2">
      <c r="A335" s="2"/>
      <c r="B335" s="21"/>
      <c r="E335" s="422"/>
      <c r="F335" s="422"/>
      <c r="G335" s="422"/>
      <c r="H335" s="422"/>
      <c r="I335" s="422"/>
      <c r="J335" s="422"/>
      <c r="K335" s="422"/>
      <c r="L335" s="422"/>
      <c r="M335" s="422"/>
      <c r="N335" s="422"/>
      <c r="O335" s="422"/>
      <c r="P335" s="422"/>
      <c r="Q335" s="29"/>
      <c r="R335" s="24"/>
      <c r="U335" s="29"/>
      <c r="V335" s="29"/>
    </row>
    <row r="336" spans="1:22" x14ac:dyDescent="0.2">
      <c r="A336" s="2"/>
      <c r="B336" s="21"/>
      <c r="E336" s="422"/>
      <c r="F336" s="422"/>
      <c r="G336" s="422"/>
      <c r="H336" s="422"/>
      <c r="I336" s="422"/>
      <c r="J336" s="422"/>
      <c r="K336" s="422"/>
      <c r="L336" s="422"/>
      <c r="M336" s="422"/>
      <c r="N336" s="422"/>
      <c r="O336" s="422"/>
      <c r="P336" s="422"/>
      <c r="Q336" s="29"/>
      <c r="R336" s="24"/>
      <c r="U336" s="29"/>
      <c r="V336" s="29"/>
    </row>
    <row r="337" spans="1:22" x14ac:dyDescent="0.2">
      <c r="A337" s="2"/>
      <c r="B337" s="21"/>
      <c r="E337" s="422"/>
      <c r="F337" s="422"/>
      <c r="G337" s="422"/>
      <c r="H337" s="422"/>
      <c r="I337" s="422"/>
      <c r="J337" s="422"/>
      <c r="K337" s="422"/>
      <c r="L337" s="422"/>
      <c r="M337" s="422"/>
      <c r="N337" s="422"/>
      <c r="O337" s="422"/>
      <c r="P337" s="422"/>
      <c r="Q337" s="29"/>
      <c r="R337" s="24"/>
      <c r="U337" s="29"/>
      <c r="V337" s="29"/>
    </row>
    <row r="338" spans="1:22" x14ac:dyDescent="0.2">
      <c r="A338" s="2"/>
      <c r="B338" s="21"/>
      <c r="E338" s="422"/>
      <c r="F338" s="422"/>
      <c r="G338" s="422"/>
      <c r="H338" s="422"/>
      <c r="I338" s="422"/>
      <c r="J338" s="422"/>
      <c r="K338" s="422"/>
      <c r="L338" s="422"/>
      <c r="M338" s="422"/>
      <c r="N338" s="422"/>
      <c r="O338" s="422"/>
      <c r="P338" s="422"/>
      <c r="Q338" s="29"/>
      <c r="R338" s="24"/>
      <c r="U338" s="29"/>
      <c r="V338" s="29"/>
    </row>
    <row r="339" spans="1:22" x14ac:dyDescent="0.2">
      <c r="A339" s="2"/>
      <c r="B339" s="21"/>
      <c r="E339" s="422"/>
      <c r="F339" s="422"/>
      <c r="G339" s="422"/>
      <c r="H339" s="422"/>
      <c r="I339" s="422"/>
      <c r="J339" s="422"/>
      <c r="K339" s="422"/>
      <c r="L339" s="422"/>
      <c r="M339" s="422"/>
      <c r="N339" s="422"/>
      <c r="O339" s="422"/>
      <c r="P339" s="422"/>
      <c r="Q339" s="29"/>
      <c r="R339" s="24"/>
      <c r="U339" s="29"/>
      <c r="V339" s="29"/>
    </row>
    <row r="340" spans="1:22" x14ac:dyDescent="0.2">
      <c r="A340" s="2"/>
      <c r="B340" s="21"/>
      <c r="E340" s="422"/>
      <c r="F340" s="422"/>
      <c r="G340" s="422"/>
      <c r="H340" s="422"/>
      <c r="I340" s="422"/>
      <c r="J340" s="422"/>
      <c r="K340" s="422"/>
      <c r="L340" s="422"/>
      <c r="M340" s="422"/>
      <c r="N340" s="422"/>
      <c r="O340" s="422"/>
      <c r="P340" s="422"/>
      <c r="Q340" s="29"/>
      <c r="R340" s="24"/>
      <c r="U340" s="29"/>
      <c r="V340" s="29"/>
    </row>
    <row r="341" spans="1:22" x14ac:dyDescent="0.2">
      <c r="A341" s="2"/>
      <c r="B341" s="21"/>
      <c r="E341" s="422"/>
      <c r="F341" s="422"/>
      <c r="G341" s="422"/>
      <c r="H341" s="422"/>
      <c r="I341" s="422"/>
      <c r="J341" s="422"/>
      <c r="K341" s="422"/>
      <c r="L341" s="422"/>
      <c r="M341" s="422"/>
      <c r="N341" s="422"/>
      <c r="O341" s="422"/>
      <c r="P341" s="422"/>
      <c r="Q341" s="29"/>
      <c r="R341" s="24"/>
      <c r="U341" s="29"/>
      <c r="V341" s="29"/>
    </row>
    <row r="342" spans="1:22" x14ac:dyDescent="0.2">
      <c r="A342" s="2"/>
      <c r="B342" s="21"/>
      <c r="E342" s="422"/>
      <c r="F342" s="422"/>
      <c r="G342" s="422"/>
      <c r="H342" s="422"/>
      <c r="I342" s="422"/>
      <c r="J342" s="422"/>
      <c r="K342" s="422"/>
      <c r="L342" s="422"/>
      <c r="M342" s="422"/>
      <c r="N342" s="422"/>
      <c r="O342" s="422"/>
      <c r="P342" s="422"/>
      <c r="Q342" s="29"/>
      <c r="R342" s="24"/>
      <c r="U342" s="29"/>
      <c r="V342" s="29"/>
    </row>
    <row r="343" spans="1:22" x14ac:dyDescent="0.2">
      <c r="A343" s="2"/>
      <c r="B343" s="21"/>
      <c r="E343" s="422"/>
      <c r="F343" s="422"/>
      <c r="G343" s="422"/>
      <c r="H343" s="422"/>
      <c r="I343" s="422"/>
      <c r="J343" s="422"/>
      <c r="K343" s="422"/>
      <c r="L343" s="422"/>
      <c r="M343" s="422"/>
      <c r="N343" s="422"/>
      <c r="O343" s="422"/>
      <c r="P343" s="422"/>
      <c r="Q343" s="29"/>
      <c r="R343" s="24"/>
      <c r="U343" s="29"/>
      <c r="V343" s="29"/>
    </row>
    <row r="344" spans="1:22" x14ac:dyDescent="0.2">
      <c r="A344" s="2"/>
      <c r="B344" s="21"/>
      <c r="E344" s="422"/>
      <c r="F344" s="422"/>
      <c r="G344" s="422"/>
      <c r="H344" s="422"/>
      <c r="I344" s="422"/>
      <c r="J344" s="422"/>
      <c r="K344" s="422"/>
      <c r="L344" s="422"/>
      <c r="M344" s="422"/>
      <c r="N344" s="422"/>
      <c r="O344" s="422"/>
      <c r="P344" s="422"/>
      <c r="Q344" s="29"/>
      <c r="R344" s="24"/>
      <c r="U344" s="29"/>
      <c r="V344" s="29"/>
    </row>
    <row r="345" spans="1:22" x14ac:dyDescent="0.2">
      <c r="A345" s="2"/>
      <c r="B345" s="21"/>
      <c r="E345" s="422"/>
      <c r="F345" s="422"/>
      <c r="G345" s="422"/>
      <c r="H345" s="422"/>
      <c r="I345" s="422"/>
      <c r="J345" s="422"/>
      <c r="K345" s="422"/>
      <c r="L345" s="422"/>
      <c r="M345" s="422"/>
      <c r="N345" s="422"/>
      <c r="O345" s="422"/>
      <c r="P345" s="422"/>
      <c r="Q345" s="29"/>
      <c r="R345" s="24"/>
      <c r="U345" s="29"/>
      <c r="V345" s="29"/>
    </row>
    <row r="346" spans="1:22" x14ac:dyDescent="0.2">
      <c r="A346" s="2"/>
      <c r="B346" s="21"/>
      <c r="E346" s="422"/>
      <c r="F346" s="422"/>
      <c r="G346" s="422"/>
      <c r="H346" s="422"/>
      <c r="I346" s="422"/>
      <c r="J346" s="422"/>
      <c r="K346" s="422"/>
      <c r="L346" s="422"/>
      <c r="M346" s="422"/>
      <c r="N346" s="422"/>
      <c r="O346" s="422"/>
      <c r="P346" s="422"/>
      <c r="Q346" s="29"/>
      <c r="R346" s="24"/>
      <c r="U346" s="29"/>
      <c r="V346" s="29"/>
    </row>
    <row r="347" spans="1:22" x14ac:dyDescent="0.2">
      <c r="A347" s="2"/>
      <c r="B347" s="21"/>
      <c r="E347" s="422"/>
      <c r="F347" s="422"/>
      <c r="G347" s="422"/>
      <c r="H347" s="422"/>
      <c r="I347" s="422"/>
      <c r="J347" s="422"/>
      <c r="K347" s="422"/>
      <c r="L347" s="422"/>
      <c r="M347" s="422"/>
      <c r="N347" s="422"/>
      <c r="O347" s="422"/>
      <c r="P347" s="422"/>
      <c r="Q347" s="29"/>
      <c r="R347" s="24"/>
      <c r="U347" s="29"/>
      <c r="V347" s="29"/>
    </row>
    <row r="348" spans="1:22" x14ac:dyDescent="0.2">
      <c r="A348" s="2"/>
      <c r="B348" s="21"/>
      <c r="E348" s="422"/>
      <c r="F348" s="422"/>
      <c r="G348" s="422"/>
      <c r="H348" s="422"/>
      <c r="I348" s="422"/>
      <c r="J348" s="422"/>
      <c r="K348" s="422"/>
      <c r="L348" s="422"/>
      <c r="M348" s="422"/>
      <c r="N348" s="422"/>
      <c r="O348" s="422"/>
      <c r="P348" s="422"/>
      <c r="Q348" s="29"/>
      <c r="R348" s="24"/>
      <c r="U348" s="29"/>
      <c r="V348" s="29"/>
    </row>
    <row r="349" spans="1:22" x14ac:dyDescent="0.2">
      <c r="A349" s="2"/>
      <c r="B349" s="21"/>
      <c r="E349" s="422"/>
      <c r="F349" s="422"/>
      <c r="G349" s="422"/>
      <c r="H349" s="422"/>
      <c r="I349" s="422"/>
      <c r="J349" s="422"/>
      <c r="K349" s="422"/>
      <c r="L349" s="422"/>
      <c r="M349" s="422"/>
      <c r="N349" s="422"/>
      <c r="O349" s="422"/>
      <c r="P349" s="422"/>
      <c r="Q349" s="29"/>
      <c r="R349" s="24"/>
      <c r="U349" s="29"/>
      <c r="V349" s="29"/>
    </row>
    <row r="350" spans="1:22" x14ac:dyDescent="0.2">
      <c r="A350" s="2"/>
      <c r="B350" s="21"/>
      <c r="E350" s="422"/>
      <c r="F350" s="422"/>
      <c r="G350" s="422"/>
      <c r="H350" s="422"/>
      <c r="I350" s="422"/>
      <c r="J350" s="422"/>
      <c r="K350" s="422"/>
      <c r="L350" s="422"/>
      <c r="M350" s="422"/>
      <c r="N350" s="422"/>
      <c r="O350" s="422"/>
      <c r="P350" s="422"/>
      <c r="Q350" s="29"/>
      <c r="R350" s="24"/>
      <c r="U350" s="29"/>
      <c r="V350" s="29"/>
    </row>
    <row r="351" spans="1:22" x14ac:dyDescent="0.2">
      <c r="A351" s="2"/>
      <c r="B351" s="21"/>
      <c r="E351" s="422"/>
      <c r="F351" s="422"/>
      <c r="G351" s="422"/>
      <c r="H351" s="422"/>
      <c r="I351" s="422"/>
      <c r="J351" s="422"/>
      <c r="K351" s="422"/>
      <c r="L351" s="422"/>
      <c r="M351" s="422"/>
      <c r="N351" s="422"/>
      <c r="O351" s="422"/>
      <c r="P351" s="422"/>
      <c r="Q351" s="29"/>
      <c r="R351" s="24"/>
      <c r="U351" s="29"/>
      <c r="V351" s="29"/>
    </row>
    <row r="352" spans="1:22" x14ac:dyDescent="0.2">
      <c r="A352" s="2"/>
      <c r="B352" s="21"/>
      <c r="E352" s="422"/>
      <c r="F352" s="422"/>
      <c r="G352" s="422"/>
      <c r="H352" s="422"/>
      <c r="I352" s="422"/>
      <c r="J352" s="422"/>
      <c r="K352" s="422"/>
      <c r="L352" s="422"/>
      <c r="M352" s="422"/>
      <c r="N352" s="422"/>
      <c r="O352" s="422"/>
      <c r="P352" s="422"/>
      <c r="Q352" s="29"/>
      <c r="R352" s="24"/>
      <c r="U352" s="29"/>
      <c r="V352" s="29"/>
    </row>
    <row r="353" spans="1:22" x14ac:dyDescent="0.2">
      <c r="A353" s="2"/>
      <c r="B353" s="21"/>
      <c r="E353" s="422"/>
      <c r="F353" s="422"/>
      <c r="G353" s="422"/>
      <c r="H353" s="422"/>
      <c r="I353" s="422"/>
      <c r="J353" s="422"/>
      <c r="K353" s="422"/>
      <c r="L353" s="422"/>
      <c r="M353" s="422"/>
      <c r="N353" s="422"/>
      <c r="O353" s="422"/>
      <c r="P353" s="422"/>
      <c r="Q353" s="29"/>
      <c r="R353" s="24"/>
      <c r="U353" s="29"/>
      <c r="V353" s="29"/>
    </row>
    <row r="354" spans="1:22" x14ac:dyDescent="0.2">
      <c r="A354" s="2"/>
      <c r="B354" s="21"/>
      <c r="E354" s="422"/>
      <c r="F354" s="422"/>
      <c r="G354" s="422"/>
      <c r="H354" s="422"/>
      <c r="I354" s="422"/>
      <c r="J354" s="422"/>
      <c r="K354" s="422"/>
      <c r="L354" s="422"/>
      <c r="M354" s="422"/>
      <c r="N354" s="422"/>
      <c r="O354" s="422"/>
      <c r="P354" s="422"/>
      <c r="Q354" s="29"/>
      <c r="R354" s="24"/>
      <c r="U354" s="29"/>
      <c r="V354" s="29"/>
    </row>
    <row r="355" spans="1:22" x14ac:dyDescent="0.2">
      <c r="A355" s="2"/>
      <c r="B355" s="21"/>
      <c r="E355" s="422"/>
      <c r="F355" s="422"/>
      <c r="G355" s="422"/>
      <c r="H355" s="422"/>
      <c r="I355" s="422"/>
      <c r="J355" s="422"/>
      <c r="K355" s="422"/>
      <c r="L355" s="422"/>
      <c r="M355" s="422"/>
      <c r="N355" s="422"/>
      <c r="O355" s="422"/>
      <c r="P355" s="422"/>
      <c r="Q355" s="29"/>
      <c r="R355" s="24"/>
      <c r="U355" s="29"/>
      <c r="V355" s="29"/>
    </row>
    <row r="356" spans="1:22" x14ac:dyDescent="0.2">
      <c r="A356" s="2"/>
      <c r="B356" s="21"/>
      <c r="E356" s="422"/>
      <c r="F356" s="422"/>
      <c r="G356" s="422"/>
      <c r="H356" s="422"/>
      <c r="I356" s="422"/>
      <c r="J356" s="422"/>
      <c r="K356" s="422"/>
      <c r="L356" s="422"/>
      <c r="M356" s="422"/>
      <c r="N356" s="422"/>
      <c r="O356" s="422"/>
      <c r="P356" s="422"/>
      <c r="Q356" s="29"/>
      <c r="R356" s="24"/>
      <c r="U356" s="29"/>
      <c r="V356" s="29"/>
    </row>
    <row r="357" spans="1:22" x14ac:dyDescent="0.2">
      <c r="A357" s="2"/>
      <c r="B357" s="21"/>
      <c r="E357" s="422"/>
      <c r="F357" s="422"/>
      <c r="G357" s="422"/>
      <c r="H357" s="422"/>
      <c r="I357" s="422"/>
      <c r="J357" s="422"/>
      <c r="K357" s="422"/>
      <c r="L357" s="422"/>
      <c r="M357" s="422"/>
      <c r="N357" s="422"/>
      <c r="O357" s="422"/>
      <c r="P357" s="422"/>
      <c r="Q357" s="29"/>
      <c r="R357" s="24"/>
      <c r="U357" s="29"/>
      <c r="V357" s="29"/>
    </row>
    <row r="358" spans="1:22" x14ac:dyDescent="0.2">
      <c r="A358" s="2"/>
      <c r="B358" s="21"/>
      <c r="E358" s="422"/>
      <c r="F358" s="422"/>
      <c r="G358" s="422"/>
      <c r="H358" s="422"/>
      <c r="I358" s="422"/>
      <c r="J358" s="422"/>
      <c r="K358" s="422"/>
      <c r="L358" s="422"/>
      <c r="M358" s="422"/>
      <c r="N358" s="422"/>
      <c r="O358" s="422"/>
      <c r="P358" s="422"/>
      <c r="Q358" s="29"/>
      <c r="R358" s="24"/>
      <c r="U358" s="29"/>
      <c r="V358" s="29"/>
    </row>
    <row r="359" spans="1:22" x14ac:dyDescent="0.2">
      <c r="A359" s="2"/>
      <c r="B359" s="21"/>
      <c r="E359" s="422"/>
      <c r="F359" s="422"/>
      <c r="G359" s="422"/>
      <c r="H359" s="422"/>
      <c r="I359" s="422"/>
      <c r="J359" s="422"/>
      <c r="K359" s="422"/>
      <c r="L359" s="422"/>
      <c r="M359" s="422"/>
      <c r="N359" s="422"/>
      <c r="O359" s="422"/>
      <c r="P359" s="422"/>
      <c r="Q359" s="29"/>
      <c r="R359" s="24"/>
      <c r="U359" s="29"/>
      <c r="V359" s="29"/>
    </row>
    <row r="360" spans="1:22" x14ac:dyDescent="0.2">
      <c r="A360" s="2"/>
      <c r="B360" s="21"/>
      <c r="E360" s="422"/>
      <c r="F360" s="422"/>
      <c r="G360" s="422"/>
      <c r="H360" s="422"/>
      <c r="I360" s="422"/>
      <c r="J360" s="422"/>
      <c r="K360" s="422"/>
      <c r="L360" s="422"/>
      <c r="M360" s="422"/>
      <c r="N360" s="422"/>
      <c r="O360" s="422"/>
      <c r="P360" s="422"/>
      <c r="Q360" s="29"/>
      <c r="R360" s="24"/>
      <c r="U360" s="29"/>
      <c r="V360" s="29"/>
    </row>
    <row r="361" spans="1:22" x14ac:dyDescent="0.2">
      <c r="A361" s="2"/>
      <c r="B361" s="21"/>
      <c r="E361" s="422"/>
      <c r="F361" s="422"/>
      <c r="G361" s="422"/>
      <c r="H361" s="422"/>
      <c r="I361" s="422"/>
      <c r="J361" s="422"/>
      <c r="K361" s="422"/>
      <c r="L361" s="422"/>
      <c r="M361" s="422"/>
      <c r="N361" s="422"/>
      <c r="O361" s="422"/>
      <c r="P361" s="422"/>
      <c r="Q361" s="29"/>
      <c r="R361" s="24"/>
      <c r="U361" s="29"/>
      <c r="V361" s="29"/>
    </row>
    <row r="362" spans="1:22" x14ac:dyDescent="0.2">
      <c r="A362" s="2"/>
      <c r="B362" s="21"/>
      <c r="E362" s="422"/>
      <c r="F362" s="422"/>
      <c r="G362" s="422"/>
      <c r="H362" s="422"/>
      <c r="I362" s="422"/>
      <c r="J362" s="422"/>
      <c r="K362" s="422"/>
      <c r="L362" s="422"/>
      <c r="M362" s="422"/>
      <c r="N362" s="422"/>
      <c r="O362" s="422"/>
      <c r="P362" s="422"/>
      <c r="Q362" s="29"/>
      <c r="R362" s="24"/>
      <c r="U362" s="29"/>
      <c r="V362" s="29"/>
    </row>
    <row r="363" spans="1:22" x14ac:dyDescent="0.2">
      <c r="A363" s="2"/>
      <c r="B363" s="21"/>
      <c r="E363" s="422"/>
      <c r="F363" s="422"/>
      <c r="G363" s="422"/>
      <c r="H363" s="422"/>
      <c r="I363" s="422"/>
      <c r="J363" s="422"/>
      <c r="K363" s="422"/>
      <c r="L363" s="422"/>
      <c r="M363" s="422"/>
      <c r="N363" s="422"/>
      <c r="O363" s="422"/>
      <c r="P363" s="422"/>
      <c r="Q363" s="29"/>
      <c r="R363" s="24"/>
      <c r="U363" s="29"/>
      <c r="V363" s="29"/>
    </row>
    <row r="364" spans="1:22" x14ac:dyDescent="0.2">
      <c r="A364" s="2"/>
      <c r="B364" s="21"/>
      <c r="E364" s="422"/>
      <c r="F364" s="422"/>
      <c r="G364" s="422"/>
      <c r="H364" s="422"/>
      <c r="I364" s="422"/>
      <c r="J364" s="422"/>
      <c r="K364" s="422"/>
      <c r="L364" s="422"/>
      <c r="M364" s="422"/>
      <c r="N364" s="422"/>
      <c r="O364" s="422"/>
      <c r="P364" s="422"/>
      <c r="Q364" s="29"/>
      <c r="R364" s="24"/>
      <c r="U364" s="29"/>
      <c r="V364" s="29"/>
    </row>
    <row r="365" spans="1:22" x14ac:dyDescent="0.2">
      <c r="A365" s="2"/>
      <c r="B365" s="21"/>
      <c r="E365" s="422"/>
      <c r="F365" s="422"/>
      <c r="G365" s="422"/>
      <c r="H365" s="422"/>
      <c r="I365" s="422"/>
      <c r="J365" s="422"/>
      <c r="K365" s="422"/>
      <c r="L365" s="422"/>
      <c r="M365" s="422"/>
      <c r="N365" s="422"/>
      <c r="O365" s="422"/>
      <c r="P365" s="422"/>
      <c r="Q365" s="29"/>
      <c r="R365" s="24"/>
      <c r="U365" s="29"/>
      <c r="V365" s="29"/>
    </row>
    <row r="366" spans="1:22" x14ac:dyDescent="0.2">
      <c r="A366" s="2"/>
      <c r="B366" s="21"/>
      <c r="E366" s="422"/>
      <c r="F366" s="422"/>
      <c r="G366" s="422"/>
      <c r="H366" s="422"/>
      <c r="I366" s="422"/>
      <c r="J366" s="422"/>
      <c r="K366" s="422"/>
      <c r="L366" s="422"/>
      <c r="M366" s="422"/>
      <c r="N366" s="422"/>
      <c r="O366" s="422"/>
      <c r="P366" s="422"/>
      <c r="Q366" s="29"/>
      <c r="R366" s="24"/>
      <c r="U366" s="29"/>
      <c r="V366" s="29"/>
    </row>
    <row r="367" spans="1:22" x14ac:dyDescent="0.2">
      <c r="A367" s="2"/>
      <c r="B367" s="21"/>
      <c r="E367" s="422"/>
      <c r="F367" s="422"/>
      <c r="G367" s="422"/>
      <c r="H367" s="422"/>
      <c r="I367" s="422"/>
      <c r="J367" s="422"/>
      <c r="K367" s="422"/>
      <c r="L367" s="422"/>
      <c r="M367" s="422"/>
      <c r="N367" s="422"/>
      <c r="O367" s="422"/>
      <c r="P367" s="422"/>
      <c r="Q367" s="29"/>
      <c r="R367" s="24"/>
      <c r="U367" s="29"/>
      <c r="V367" s="29"/>
    </row>
    <row r="368" spans="1:22" x14ac:dyDescent="0.2">
      <c r="A368" s="2"/>
      <c r="B368" s="21"/>
      <c r="E368" s="422"/>
      <c r="F368" s="422"/>
      <c r="G368" s="422"/>
      <c r="H368" s="422"/>
      <c r="I368" s="422"/>
      <c r="J368" s="422"/>
      <c r="K368" s="422"/>
      <c r="L368" s="422"/>
      <c r="M368" s="422"/>
      <c r="N368" s="422"/>
      <c r="O368" s="422"/>
      <c r="P368" s="422"/>
      <c r="Q368" s="29"/>
      <c r="R368" s="24"/>
      <c r="U368" s="29"/>
      <c r="V368" s="29"/>
    </row>
    <row r="369" spans="1:22" x14ac:dyDescent="0.2">
      <c r="A369" s="2"/>
      <c r="B369" s="21"/>
      <c r="E369" s="422"/>
      <c r="F369" s="422"/>
      <c r="G369" s="422"/>
      <c r="H369" s="422"/>
      <c r="I369" s="422"/>
      <c r="J369" s="422"/>
      <c r="K369" s="422"/>
      <c r="L369" s="422"/>
      <c r="M369" s="422"/>
      <c r="N369" s="422"/>
      <c r="O369" s="422"/>
      <c r="P369" s="422"/>
      <c r="Q369" s="29"/>
      <c r="R369" s="24"/>
      <c r="U369" s="29"/>
      <c r="V369" s="29"/>
    </row>
    <row r="370" spans="1:22" x14ac:dyDescent="0.2">
      <c r="A370" s="2"/>
      <c r="B370" s="21"/>
      <c r="E370" s="422"/>
      <c r="F370" s="422"/>
      <c r="G370" s="422"/>
      <c r="H370" s="422"/>
      <c r="I370" s="422"/>
      <c r="J370" s="422"/>
      <c r="K370" s="422"/>
      <c r="L370" s="422"/>
      <c r="M370" s="422"/>
      <c r="N370" s="422"/>
      <c r="O370" s="422"/>
      <c r="P370" s="422"/>
      <c r="Q370" s="29"/>
      <c r="R370" s="24"/>
      <c r="U370" s="29"/>
      <c r="V370" s="29"/>
    </row>
    <row r="371" spans="1:22" x14ac:dyDescent="0.2">
      <c r="A371" s="2"/>
      <c r="B371" s="21"/>
      <c r="E371" s="422"/>
      <c r="F371" s="422"/>
      <c r="G371" s="422"/>
      <c r="H371" s="422"/>
      <c r="I371" s="422"/>
      <c r="J371" s="422"/>
      <c r="K371" s="422"/>
      <c r="L371" s="422"/>
      <c r="M371" s="422"/>
      <c r="N371" s="422"/>
      <c r="O371" s="422"/>
      <c r="P371" s="422"/>
      <c r="Q371" s="29"/>
      <c r="R371" s="24"/>
      <c r="U371" s="29"/>
      <c r="V371" s="29"/>
    </row>
    <row r="372" spans="1:22" x14ac:dyDescent="0.2">
      <c r="A372" s="2"/>
      <c r="B372" s="21"/>
      <c r="E372" s="422"/>
      <c r="F372" s="422"/>
      <c r="G372" s="422"/>
      <c r="H372" s="422"/>
      <c r="I372" s="422"/>
      <c r="J372" s="422"/>
      <c r="K372" s="422"/>
      <c r="L372" s="422"/>
      <c r="M372" s="422"/>
      <c r="N372" s="422"/>
      <c r="O372" s="422"/>
      <c r="P372" s="422"/>
      <c r="Q372" s="29"/>
      <c r="R372" s="24"/>
      <c r="U372" s="29"/>
      <c r="V372" s="29"/>
    </row>
    <row r="373" spans="1:22" x14ac:dyDescent="0.2">
      <c r="A373" s="2"/>
      <c r="B373" s="21"/>
      <c r="E373" s="422"/>
      <c r="F373" s="422"/>
      <c r="G373" s="422"/>
      <c r="H373" s="422"/>
      <c r="I373" s="422"/>
      <c r="J373" s="422"/>
      <c r="K373" s="422"/>
      <c r="L373" s="422"/>
      <c r="M373" s="422"/>
      <c r="N373" s="422"/>
      <c r="O373" s="422"/>
      <c r="P373" s="422"/>
      <c r="Q373" s="29"/>
      <c r="R373" s="24"/>
      <c r="U373" s="29"/>
      <c r="V373" s="29"/>
    </row>
    <row r="374" spans="1:22" x14ac:dyDescent="0.2">
      <c r="A374" s="2"/>
      <c r="B374" s="21"/>
      <c r="E374" s="422"/>
      <c r="F374" s="422"/>
      <c r="G374" s="422"/>
      <c r="H374" s="422"/>
      <c r="I374" s="422"/>
      <c r="J374" s="422"/>
      <c r="K374" s="422"/>
      <c r="L374" s="422"/>
      <c r="M374" s="422"/>
      <c r="N374" s="422"/>
      <c r="O374" s="422"/>
      <c r="P374" s="422"/>
      <c r="Q374" s="29"/>
      <c r="R374" s="24"/>
      <c r="U374" s="29"/>
      <c r="V374" s="29"/>
    </row>
    <row r="375" spans="1:22" x14ac:dyDescent="0.2">
      <c r="A375" s="2"/>
      <c r="B375" s="21"/>
      <c r="E375" s="422"/>
      <c r="F375" s="422"/>
      <c r="G375" s="422"/>
      <c r="H375" s="422"/>
      <c r="I375" s="422"/>
      <c r="J375" s="422"/>
      <c r="K375" s="422"/>
      <c r="L375" s="422"/>
      <c r="M375" s="422"/>
      <c r="N375" s="422"/>
      <c r="O375" s="422"/>
      <c r="P375" s="422"/>
      <c r="Q375" s="29"/>
      <c r="R375" s="24"/>
      <c r="U375" s="29"/>
      <c r="V375" s="29"/>
    </row>
    <row r="376" spans="1:22" x14ac:dyDescent="0.2">
      <c r="A376" s="2"/>
      <c r="B376" s="21"/>
      <c r="E376" s="422"/>
      <c r="F376" s="422"/>
      <c r="G376" s="422"/>
      <c r="H376" s="422"/>
      <c r="I376" s="422"/>
      <c r="J376" s="422"/>
      <c r="K376" s="422"/>
      <c r="L376" s="422"/>
      <c r="M376" s="422"/>
      <c r="N376" s="422"/>
      <c r="O376" s="422"/>
      <c r="P376" s="422"/>
      <c r="Q376" s="29"/>
      <c r="R376" s="24"/>
      <c r="U376" s="29"/>
      <c r="V376" s="29"/>
    </row>
    <row r="377" spans="1:22" x14ac:dyDescent="0.2">
      <c r="A377" s="2"/>
      <c r="B377" s="21"/>
      <c r="E377" s="422"/>
      <c r="F377" s="422"/>
      <c r="G377" s="422"/>
      <c r="H377" s="422"/>
      <c r="I377" s="422"/>
      <c r="J377" s="422"/>
      <c r="K377" s="422"/>
      <c r="L377" s="422"/>
      <c r="M377" s="422"/>
      <c r="N377" s="422"/>
      <c r="O377" s="422"/>
      <c r="P377" s="422"/>
      <c r="Q377" s="29"/>
      <c r="R377" s="24"/>
      <c r="U377" s="29"/>
      <c r="V377" s="29"/>
    </row>
    <row r="378" spans="1:22" x14ac:dyDescent="0.2">
      <c r="A378" s="2"/>
      <c r="B378" s="21"/>
      <c r="E378" s="422"/>
      <c r="F378" s="422"/>
      <c r="G378" s="422"/>
      <c r="H378" s="422"/>
      <c r="I378" s="422"/>
      <c r="J378" s="422"/>
      <c r="K378" s="422"/>
      <c r="L378" s="422"/>
      <c r="M378" s="422"/>
      <c r="N378" s="422"/>
      <c r="O378" s="422"/>
      <c r="P378" s="422"/>
      <c r="Q378" s="29"/>
      <c r="R378" s="24"/>
      <c r="U378" s="29"/>
      <c r="V378" s="29"/>
    </row>
    <row r="379" spans="1:22" x14ac:dyDescent="0.2">
      <c r="A379" s="2"/>
      <c r="B379" s="21"/>
      <c r="E379" s="422"/>
      <c r="F379" s="422"/>
      <c r="G379" s="422"/>
      <c r="H379" s="422"/>
      <c r="I379" s="422"/>
      <c r="J379" s="422"/>
      <c r="K379" s="422"/>
      <c r="L379" s="422"/>
      <c r="M379" s="422"/>
      <c r="N379" s="422"/>
      <c r="O379" s="422"/>
      <c r="P379" s="422"/>
      <c r="Q379" s="29"/>
      <c r="R379" s="24"/>
      <c r="U379" s="29"/>
      <c r="V379" s="29"/>
    </row>
    <row r="380" spans="1:22" x14ac:dyDescent="0.2">
      <c r="A380" s="2"/>
      <c r="B380" s="21"/>
      <c r="E380" s="422"/>
      <c r="F380" s="422"/>
      <c r="G380" s="422"/>
      <c r="H380" s="422"/>
      <c r="I380" s="422"/>
      <c r="J380" s="422"/>
      <c r="K380" s="422"/>
      <c r="L380" s="422"/>
      <c r="M380" s="422"/>
      <c r="N380" s="422"/>
      <c r="O380" s="422"/>
      <c r="P380" s="422"/>
      <c r="Q380" s="29"/>
      <c r="R380" s="24"/>
      <c r="U380" s="29"/>
      <c r="V380" s="29"/>
    </row>
    <row r="381" spans="1:22" x14ac:dyDescent="0.2">
      <c r="A381" s="2"/>
      <c r="B381" s="21"/>
      <c r="E381" s="422"/>
      <c r="F381" s="422"/>
      <c r="G381" s="422"/>
      <c r="H381" s="422"/>
      <c r="I381" s="422"/>
      <c r="J381" s="422"/>
      <c r="K381" s="422"/>
      <c r="L381" s="422"/>
      <c r="M381" s="422"/>
      <c r="N381" s="422"/>
      <c r="O381" s="422"/>
      <c r="P381" s="422"/>
      <c r="Q381" s="29"/>
      <c r="R381" s="24"/>
      <c r="U381" s="29"/>
      <c r="V381" s="29"/>
    </row>
    <row r="382" spans="1:22" x14ac:dyDescent="0.2">
      <c r="A382" s="2"/>
      <c r="B382" s="21"/>
      <c r="E382" s="422"/>
      <c r="F382" s="422"/>
      <c r="G382" s="422"/>
      <c r="H382" s="422"/>
      <c r="I382" s="422"/>
      <c r="J382" s="422"/>
      <c r="K382" s="422"/>
      <c r="L382" s="422"/>
      <c r="M382" s="422"/>
      <c r="N382" s="422"/>
      <c r="O382" s="422"/>
      <c r="P382" s="422"/>
      <c r="Q382" s="29"/>
      <c r="R382" s="24"/>
      <c r="U382" s="29"/>
      <c r="V382" s="29"/>
    </row>
    <row r="383" spans="1:22" x14ac:dyDescent="0.2">
      <c r="A383" s="2"/>
      <c r="B383" s="21"/>
      <c r="E383" s="422"/>
      <c r="F383" s="422"/>
      <c r="G383" s="422"/>
      <c r="H383" s="422"/>
      <c r="I383" s="422"/>
      <c r="J383" s="422"/>
      <c r="K383" s="422"/>
      <c r="L383" s="422"/>
      <c r="M383" s="422"/>
      <c r="N383" s="422"/>
      <c r="O383" s="422"/>
      <c r="P383" s="422"/>
      <c r="Q383" s="29"/>
      <c r="R383" s="24"/>
      <c r="U383" s="29"/>
      <c r="V383" s="29"/>
    </row>
    <row r="384" spans="1:22" x14ac:dyDescent="0.2">
      <c r="A384" s="2"/>
      <c r="B384" s="21"/>
      <c r="E384" s="422"/>
      <c r="F384" s="422"/>
      <c r="G384" s="422"/>
      <c r="H384" s="422"/>
      <c r="I384" s="422"/>
      <c r="J384" s="422"/>
      <c r="K384" s="422"/>
      <c r="L384" s="422"/>
      <c r="M384" s="422"/>
      <c r="N384" s="422"/>
      <c r="O384" s="422"/>
      <c r="P384" s="422"/>
      <c r="Q384" s="29"/>
      <c r="R384" s="24"/>
      <c r="U384" s="29"/>
      <c r="V384" s="29"/>
    </row>
    <row r="385" spans="1:22" x14ac:dyDescent="0.2">
      <c r="A385" s="2"/>
      <c r="B385" s="21"/>
      <c r="E385" s="422"/>
      <c r="F385" s="422"/>
      <c r="G385" s="422"/>
      <c r="H385" s="422"/>
      <c r="I385" s="422"/>
      <c r="J385" s="422"/>
      <c r="K385" s="422"/>
      <c r="L385" s="422"/>
      <c r="M385" s="422"/>
      <c r="N385" s="422"/>
      <c r="O385" s="422"/>
      <c r="P385" s="422"/>
      <c r="Q385" s="29"/>
      <c r="R385" s="24"/>
      <c r="U385" s="29"/>
      <c r="V385" s="29"/>
    </row>
    <row r="386" spans="1:22" x14ac:dyDescent="0.2">
      <c r="A386" s="2"/>
      <c r="B386" s="21"/>
      <c r="E386" s="422"/>
      <c r="F386" s="422"/>
      <c r="G386" s="422"/>
      <c r="H386" s="422"/>
      <c r="I386" s="422"/>
      <c r="J386" s="422"/>
      <c r="K386" s="422"/>
      <c r="L386" s="422"/>
      <c r="M386" s="422"/>
      <c r="N386" s="422"/>
      <c r="O386" s="422"/>
      <c r="P386" s="422"/>
      <c r="Q386" s="29"/>
      <c r="R386" s="24"/>
      <c r="U386" s="29"/>
      <c r="V386" s="29"/>
    </row>
    <row r="387" spans="1:22" x14ac:dyDescent="0.2">
      <c r="A387" s="2"/>
      <c r="B387" s="21"/>
      <c r="E387" s="422"/>
      <c r="F387" s="422"/>
      <c r="G387" s="422"/>
      <c r="H387" s="422"/>
      <c r="I387" s="422"/>
      <c r="J387" s="422"/>
      <c r="K387" s="422"/>
      <c r="L387" s="422"/>
      <c r="M387" s="422"/>
      <c r="N387" s="422"/>
      <c r="O387" s="422"/>
      <c r="P387" s="422"/>
      <c r="Q387" s="29"/>
      <c r="R387" s="24"/>
      <c r="U387" s="29"/>
      <c r="V387" s="29"/>
    </row>
    <row r="388" spans="1:22" x14ac:dyDescent="0.2">
      <c r="A388" s="2"/>
      <c r="B388" s="21"/>
      <c r="E388" s="422"/>
      <c r="F388" s="422"/>
      <c r="G388" s="422"/>
      <c r="H388" s="422"/>
      <c r="I388" s="422"/>
      <c r="J388" s="422"/>
      <c r="K388" s="422"/>
      <c r="L388" s="422"/>
      <c r="M388" s="422"/>
      <c r="N388" s="422"/>
      <c r="O388" s="422"/>
      <c r="P388" s="422"/>
      <c r="Q388" s="29"/>
      <c r="R388" s="24"/>
      <c r="U388" s="29"/>
      <c r="V388" s="29"/>
    </row>
    <row r="389" spans="1:22" x14ac:dyDescent="0.2">
      <c r="A389" s="2"/>
      <c r="B389" s="21"/>
      <c r="E389" s="422"/>
      <c r="F389" s="422"/>
      <c r="G389" s="422"/>
      <c r="H389" s="422"/>
      <c r="I389" s="422"/>
      <c r="J389" s="422"/>
      <c r="K389" s="422"/>
      <c r="L389" s="422"/>
      <c r="M389" s="422"/>
      <c r="N389" s="422"/>
      <c r="O389" s="422"/>
      <c r="P389" s="422"/>
      <c r="Q389" s="29"/>
      <c r="R389" s="24"/>
      <c r="U389" s="29"/>
      <c r="V389" s="29"/>
    </row>
    <row r="390" spans="1:22" x14ac:dyDescent="0.2">
      <c r="A390" s="2"/>
      <c r="B390" s="21"/>
      <c r="E390" s="422"/>
      <c r="F390" s="422"/>
      <c r="G390" s="422"/>
      <c r="H390" s="422"/>
      <c r="I390" s="422"/>
      <c r="J390" s="422"/>
      <c r="K390" s="422"/>
      <c r="L390" s="422"/>
      <c r="M390" s="422"/>
      <c r="N390" s="422"/>
      <c r="O390" s="422"/>
      <c r="P390" s="422"/>
      <c r="Q390" s="29"/>
      <c r="R390" s="24"/>
      <c r="U390" s="29"/>
      <c r="V390" s="29"/>
    </row>
    <row r="391" spans="1:22" x14ac:dyDescent="0.2">
      <c r="A391" s="2"/>
      <c r="B391" s="21"/>
      <c r="E391" s="422"/>
      <c r="F391" s="422"/>
      <c r="G391" s="422"/>
      <c r="H391" s="422"/>
      <c r="I391" s="422"/>
      <c r="J391" s="422"/>
      <c r="K391" s="422"/>
      <c r="L391" s="422"/>
      <c r="M391" s="422"/>
      <c r="N391" s="422"/>
      <c r="O391" s="422"/>
      <c r="P391" s="422"/>
      <c r="Q391" s="29"/>
      <c r="R391" s="24"/>
      <c r="U391" s="29"/>
      <c r="V391" s="29"/>
    </row>
    <row r="392" spans="1:22" x14ac:dyDescent="0.2">
      <c r="A392" s="2"/>
      <c r="B392" s="21"/>
      <c r="E392" s="422"/>
      <c r="F392" s="422"/>
      <c r="G392" s="422"/>
      <c r="H392" s="422"/>
      <c r="I392" s="422"/>
      <c r="J392" s="422"/>
      <c r="K392" s="422"/>
      <c r="L392" s="422"/>
      <c r="M392" s="422"/>
      <c r="N392" s="422"/>
      <c r="O392" s="422"/>
      <c r="P392" s="422"/>
      <c r="Q392" s="29"/>
      <c r="R392" s="24"/>
      <c r="U392" s="29"/>
      <c r="V392" s="29"/>
    </row>
    <row r="393" spans="1:22" x14ac:dyDescent="0.2">
      <c r="A393" s="2"/>
      <c r="B393" s="21"/>
      <c r="E393" s="422"/>
      <c r="F393" s="422"/>
      <c r="G393" s="422"/>
      <c r="H393" s="422"/>
      <c r="I393" s="422"/>
      <c r="J393" s="422"/>
      <c r="K393" s="422"/>
      <c r="L393" s="422"/>
      <c r="M393" s="422"/>
      <c r="N393" s="422"/>
      <c r="O393" s="422"/>
      <c r="P393" s="422"/>
      <c r="Q393" s="29"/>
      <c r="R393" s="24"/>
      <c r="U393" s="29"/>
      <c r="V393" s="29"/>
    </row>
    <row r="394" spans="1:22" x14ac:dyDescent="0.2">
      <c r="A394" s="2"/>
      <c r="B394" s="21"/>
      <c r="E394" s="422"/>
      <c r="F394" s="422"/>
      <c r="G394" s="422"/>
      <c r="H394" s="422"/>
      <c r="I394" s="422"/>
      <c r="J394" s="422"/>
      <c r="K394" s="422"/>
      <c r="L394" s="422"/>
      <c r="M394" s="422"/>
      <c r="N394" s="422"/>
      <c r="O394" s="422"/>
      <c r="P394" s="422"/>
      <c r="Q394" s="29"/>
      <c r="R394" s="24"/>
      <c r="U394" s="29"/>
      <c r="V394" s="29"/>
    </row>
    <row r="395" spans="1:22" x14ac:dyDescent="0.2">
      <c r="A395" s="2"/>
      <c r="B395" s="21"/>
      <c r="E395" s="422"/>
      <c r="F395" s="422"/>
      <c r="G395" s="422"/>
      <c r="H395" s="422"/>
      <c r="I395" s="422"/>
      <c r="J395" s="422"/>
      <c r="K395" s="422"/>
      <c r="L395" s="422"/>
      <c r="M395" s="422"/>
      <c r="N395" s="422"/>
      <c r="O395" s="422"/>
      <c r="P395" s="422"/>
      <c r="Q395" s="29"/>
      <c r="R395" s="24"/>
      <c r="U395" s="29"/>
      <c r="V395" s="29"/>
    </row>
    <row r="396" spans="1:22" x14ac:dyDescent="0.2">
      <c r="A396" s="2"/>
      <c r="B396" s="21"/>
      <c r="E396" s="422"/>
      <c r="F396" s="422"/>
      <c r="G396" s="422"/>
      <c r="H396" s="422"/>
      <c r="I396" s="422"/>
      <c r="J396" s="422"/>
      <c r="K396" s="422"/>
      <c r="L396" s="422"/>
      <c r="M396" s="422"/>
      <c r="N396" s="422"/>
      <c r="O396" s="422"/>
      <c r="P396" s="422"/>
      <c r="Q396" s="29"/>
      <c r="R396" s="24"/>
      <c r="U396" s="29"/>
      <c r="V396" s="29"/>
    </row>
    <row r="397" spans="1:22" x14ac:dyDescent="0.2">
      <c r="A397" s="2"/>
      <c r="B397" s="21"/>
      <c r="E397" s="422"/>
      <c r="F397" s="422"/>
      <c r="G397" s="422"/>
      <c r="H397" s="422"/>
      <c r="I397" s="422"/>
      <c r="J397" s="422"/>
      <c r="K397" s="422"/>
      <c r="L397" s="422"/>
      <c r="M397" s="422"/>
      <c r="N397" s="422"/>
      <c r="O397" s="422"/>
      <c r="P397" s="422"/>
      <c r="Q397" s="29"/>
      <c r="R397" s="24"/>
      <c r="U397" s="29"/>
      <c r="V397" s="29"/>
    </row>
    <row r="398" spans="1:22" x14ac:dyDescent="0.2">
      <c r="A398" s="2"/>
      <c r="B398" s="21"/>
      <c r="E398" s="422"/>
      <c r="F398" s="422"/>
      <c r="G398" s="422"/>
      <c r="H398" s="422"/>
      <c r="I398" s="422"/>
      <c r="J398" s="422"/>
      <c r="K398" s="422"/>
      <c r="L398" s="422"/>
      <c r="M398" s="422"/>
      <c r="N398" s="422"/>
      <c r="O398" s="422"/>
      <c r="P398" s="422"/>
      <c r="Q398" s="29"/>
      <c r="R398" s="24"/>
      <c r="U398" s="29"/>
      <c r="V398" s="29"/>
    </row>
    <row r="399" spans="1:22" x14ac:dyDescent="0.2">
      <c r="A399" s="2"/>
      <c r="B399" s="21"/>
      <c r="E399" s="422"/>
      <c r="F399" s="422"/>
      <c r="G399" s="422"/>
      <c r="H399" s="422"/>
      <c r="I399" s="422"/>
      <c r="J399" s="422"/>
      <c r="K399" s="422"/>
      <c r="L399" s="422"/>
      <c r="M399" s="422"/>
      <c r="N399" s="422"/>
      <c r="O399" s="422"/>
      <c r="P399" s="422"/>
      <c r="Q399" s="29"/>
      <c r="R399" s="24"/>
      <c r="U399" s="29"/>
      <c r="V399" s="29"/>
    </row>
    <row r="400" spans="1:22" x14ac:dyDescent="0.2">
      <c r="A400" s="2"/>
      <c r="B400" s="21"/>
      <c r="E400" s="422"/>
      <c r="F400" s="422"/>
      <c r="G400" s="422"/>
      <c r="H400" s="422"/>
      <c r="I400" s="422"/>
      <c r="J400" s="422"/>
      <c r="K400" s="422"/>
      <c r="L400" s="422"/>
      <c r="M400" s="422"/>
      <c r="N400" s="422"/>
      <c r="O400" s="422"/>
      <c r="P400" s="422"/>
      <c r="Q400" s="29"/>
      <c r="R400" s="24"/>
      <c r="U400" s="29"/>
      <c r="V400" s="29"/>
    </row>
    <row r="401" spans="1:22" x14ac:dyDescent="0.2">
      <c r="A401" s="2"/>
      <c r="B401" s="21"/>
      <c r="E401" s="422"/>
      <c r="F401" s="422"/>
      <c r="G401" s="422"/>
      <c r="H401" s="422"/>
      <c r="I401" s="422"/>
      <c r="J401" s="422"/>
      <c r="K401" s="422"/>
      <c r="L401" s="422"/>
      <c r="M401" s="422"/>
      <c r="N401" s="422"/>
      <c r="O401" s="422"/>
      <c r="P401" s="422"/>
      <c r="Q401" s="29"/>
      <c r="R401" s="24"/>
      <c r="U401" s="29"/>
      <c r="V401" s="29"/>
    </row>
    <row r="402" spans="1:22" x14ac:dyDescent="0.2">
      <c r="A402" s="2"/>
      <c r="B402" s="21"/>
      <c r="E402" s="422"/>
      <c r="F402" s="422"/>
      <c r="G402" s="422"/>
      <c r="H402" s="422"/>
      <c r="I402" s="422"/>
      <c r="J402" s="422"/>
      <c r="K402" s="422"/>
      <c r="L402" s="422"/>
      <c r="M402" s="422"/>
      <c r="N402" s="422"/>
      <c r="O402" s="422"/>
      <c r="P402" s="422"/>
      <c r="Q402" s="29"/>
      <c r="R402" s="24"/>
      <c r="U402" s="29"/>
      <c r="V402" s="29"/>
    </row>
    <row r="403" spans="1:22" x14ac:dyDescent="0.2">
      <c r="A403" s="2"/>
      <c r="B403" s="21"/>
      <c r="E403" s="422"/>
      <c r="F403" s="422"/>
      <c r="G403" s="422"/>
      <c r="H403" s="422"/>
      <c r="I403" s="422"/>
      <c r="J403" s="422"/>
      <c r="K403" s="422"/>
      <c r="L403" s="422"/>
      <c r="M403" s="422"/>
      <c r="N403" s="422"/>
      <c r="O403" s="422"/>
      <c r="P403" s="422"/>
      <c r="Q403" s="29"/>
      <c r="R403" s="24"/>
      <c r="U403" s="29"/>
      <c r="V403" s="29"/>
    </row>
    <row r="404" spans="1:22" x14ac:dyDescent="0.2">
      <c r="A404" s="2"/>
      <c r="B404" s="21"/>
      <c r="E404" s="422"/>
      <c r="F404" s="422"/>
      <c r="G404" s="422"/>
      <c r="H404" s="422"/>
      <c r="I404" s="422"/>
      <c r="J404" s="422"/>
      <c r="K404" s="422"/>
      <c r="L404" s="422"/>
      <c r="M404" s="422"/>
      <c r="N404" s="422"/>
      <c r="O404" s="422"/>
      <c r="P404" s="422"/>
      <c r="Q404" s="29"/>
      <c r="R404" s="24"/>
      <c r="U404" s="29"/>
      <c r="V404" s="29"/>
    </row>
    <row r="405" spans="1:22" x14ac:dyDescent="0.2">
      <c r="A405" s="2"/>
      <c r="B405" s="21"/>
      <c r="E405" s="422"/>
      <c r="F405" s="422"/>
      <c r="G405" s="422"/>
      <c r="H405" s="422"/>
      <c r="I405" s="422"/>
      <c r="J405" s="422"/>
      <c r="K405" s="422"/>
      <c r="L405" s="422"/>
      <c r="M405" s="422"/>
      <c r="N405" s="422"/>
      <c r="O405" s="422"/>
      <c r="P405" s="422"/>
      <c r="Q405" s="29"/>
      <c r="R405" s="24"/>
      <c r="U405" s="29"/>
      <c r="V405" s="29"/>
    </row>
    <row r="406" spans="1:22" x14ac:dyDescent="0.2">
      <c r="A406" s="2"/>
      <c r="B406" s="21"/>
      <c r="E406" s="422"/>
      <c r="F406" s="422"/>
      <c r="G406" s="422"/>
      <c r="H406" s="422"/>
      <c r="I406" s="422"/>
      <c r="J406" s="422"/>
      <c r="K406" s="422"/>
      <c r="L406" s="422"/>
      <c r="M406" s="422"/>
      <c r="N406" s="422"/>
      <c r="O406" s="422"/>
      <c r="P406" s="422"/>
      <c r="Q406" s="29"/>
      <c r="R406" s="24"/>
      <c r="U406" s="29"/>
      <c r="V406" s="29"/>
    </row>
    <row r="407" spans="1:22" x14ac:dyDescent="0.2">
      <c r="A407" s="2"/>
      <c r="B407" s="21"/>
      <c r="E407" s="422"/>
      <c r="F407" s="422"/>
      <c r="G407" s="422"/>
      <c r="H407" s="422"/>
      <c r="I407" s="422"/>
      <c r="J407" s="422"/>
      <c r="K407" s="422"/>
      <c r="L407" s="422"/>
      <c r="M407" s="422"/>
      <c r="N407" s="422"/>
      <c r="O407" s="422"/>
      <c r="P407" s="422"/>
      <c r="Q407" s="29"/>
      <c r="R407" s="24"/>
      <c r="U407" s="29"/>
      <c r="V407" s="29"/>
    </row>
    <row r="408" spans="1:22" x14ac:dyDescent="0.2">
      <c r="A408" s="2"/>
      <c r="B408" s="21"/>
      <c r="E408" s="422"/>
      <c r="F408" s="422"/>
      <c r="G408" s="422"/>
      <c r="H408" s="422"/>
      <c r="I408" s="422"/>
      <c r="J408" s="422"/>
      <c r="K408" s="422"/>
      <c r="L408" s="422"/>
      <c r="M408" s="422"/>
      <c r="N408" s="422"/>
      <c r="O408" s="422"/>
      <c r="P408" s="422"/>
      <c r="Q408" s="29"/>
      <c r="R408" s="24"/>
      <c r="U408" s="29"/>
      <c r="V408" s="29"/>
    </row>
    <row r="409" spans="1:22" x14ac:dyDescent="0.2">
      <c r="A409" s="2"/>
      <c r="B409" s="21"/>
      <c r="E409" s="422"/>
      <c r="F409" s="422"/>
      <c r="G409" s="422"/>
      <c r="H409" s="422"/>
      <c r="I409" s="422"/>
      <c r="J409" s="422"/>
      <c r="K409" s="422"/>
      <c r="L409" s="422"/>
      <c r="M409" s="422"/>
      <c r="N409" s="422"/>
      <c r="O409" s="422"/>
      <c r="P409" s="422"/>
      <c r="Q409" s="29"/>
      <c r="R409" s="24"/>
      <c r="U409" s="29"/>
      <c r="V409" s="29"/>
    </row>
    <row r="410" spans="1:22" x14ac:dyDescent="0.2">
      <c r="A410" s="2"/>
      <c r="B410" s="21"/>
      <c r="E410" s="422"/>
      <c r="F410" s="422"/>
      <c r="G410" s="422"/>
      <c r="H410" s="422"/>
      <c r="I410" s="422"/>
      <c r="J410" s="422"/>
      <c r="K410" s="422"/>
      <c r="L410" s="422"/>
      <c r="M410" s="422"/>
      <c r="N410" s="422"/>
      <c r="O410" s="422"/>
      <c r="P410" s="422"/>
      <c r="Q410" s="29"/>
      <c r="R410" s="24"/>
      <c r="U410" s="29"/>
      <c r="V410" s="29"/>
    </row>
    <row r="411" spans="1:22" x14ac:dyDescent="0.2">
      <c r="A411" s="2"/>
      <c r="B411" s="21"/>
      <c r="E411" s="422"/>
      <c r="F411" s="422"/>
      <c r="G411" s="422"/>
      <c r="H411" s="422"/>
      <c r="I411" s="422"/>
      <c r="J411" s="422"/>
      <c r="K411" s="422"/>
      <c r="L411" s="422"/>
      <c r="M411" s="422"/>
      <c r="N411" s="422"/>
      <c r="O411" s="422"/>
      <c r="P411" s="422"/>
      <c r="Q411" s="29"/>
      <c r="R411" s="24"/>
      <c r="U411" s="29"/>
      <c r="V411" s="29"/>
    </row>
    <row r="412" spans="1:22" x14ac:dyDescent="0.2">
      <c r="A412" s="2"/>
      <c r="B412" s="21"/>
      <c r="E412" s="422"/>
      <c r="F412" s="422"/>
      <c r="G412" s="422"/>
      <c r="H412" s="422"/>
      <c r="I412" s="422"/>
      <c r="J412" s="422"/>
      <c r="K412" s="422"/>
      <c r="L412" s="422"/>
      <c r="M412" s="422"/>
      <c r="N412" s="422"/>
      <c r="O412" s="422"/>
      <c r="P412" s="422"/>
      <c r="Q412" s="29"/>
      <c r="R412" s="24"/>
      <c r="U412" s="29"/>
      <c r="V412" s="29"/>
    </row>
    <row r="413" spans="1:22" x14ac:dyDescent="0.2">
      <c r="A413" s="2"/>
      <c r="B413" s="21"/>
      <c r="E413" s="422"/>
      <c r="F413" s="422"/>
      <c r="G413" s="422"/>
      <c r="H413" s="422"/>
      <c r="I413" s="422"/>
      <c r="J413" s="422"/>
      <c r="K413" s="422"/>
      <c r="L413" s="422"/>
      <c r="M413" s="422"/>
      <c r="N413" s="422"/>
      <c r="O413" s="422"/>
      <c r="P413" s="422"/>
      <c r="Q413" s="29"/>
      <c r="R413" s="24"/>
      <c r="U413" s="29"/>
      <c r="V413" s="29"/>
    </row>
    <row r="414" spans="1:22" x14ac:dyDescent="0.2">
      <c r="A414" s="2"/>
      <c r="B414" s="21"/>
      <c r="E414" s="422"/>
      <c r="F414" s="422"/>
      <c r="G414" s="422"/>
      <c r="H414" s="422"/>
      <c r="I414" s="422"/>
      <c r="J414" s="422"/>
      <c r="K414" s="422"/>
      <c r="L414" s="422"/>
      <c r="M414" s="422"/>
      <c r="N414" s="422"/>
      <c r="O414" s="422"/>
      <c r="P414" s="422"/>
      <c r="Q414" s="29"/>
      <c r="R414" s="24"/>
      <c r="U414" s="29"/>
      <c r="V414" s="29"/>
    </row>
    <row r="415" spans="1:22" x14ac:dyDescent="0.2">
      <c r="A415" s="2"/>
      <c r="B415" s="21"/>
      <c r="E415" s="422"/>
      <c r="F415" s="422"/>
      <c r="G415" s="422"/>
      <c r="H415" s="422"/>
      <c r="I415" s="422"/>
      <c r="J415" s="422"/>
      <c r="K415" s="422"/>
      <c r="L415" s="422"/>
      <c r="M415" s="422"/>
      <c r="N415" s="422"/>
      <c r="O415" s="422"/>
      <c r="P415" s="422"/>
      <c r="Q415" s="29"/>
      <c r="R415" s="24"/>
      <c r="U415" s="29"/>
      <c r="V415" s="29"/>
    </row>
    <row r="416" spans="1:22" x14ac:dyDescent="0.2">
      <c r="A416" s="2"/>
      <c r="B416" s="21"/>
      <c r="E416" s="422"/>
      <c r="F416" s="422"/>
      <c r="G416" s="422"/>
      <c r="H416" s="422"/>
      <c r="I416" s="422"/>
      <c r="J416" s="422"/>
      <c r="K416" s="422"/>
      <c r="L416" s="422"/>
      <c r="M416" s="422"/>
      <c r="N416" s="422"/>
      <c r="O416" s="422"/>
      <c r="P416" s="422"/>
      <c r="Q416" s="29"/>
      <c r="R416" s="24"/>
      <c r="U416" s="29"/>
      <c r="V416" s="29"/>
    </row>
    <row r="417" spans="1:22" x14ac:dyDescent="0.2">
      <c r="A417" s="2"/>
      <c r="B417" s="21"/>
      <c r="E417" s="422"/>
      <c r="F417" s="422"/>
      <c r="G417" s="422"/>
      <c r="H417" s="422"/>
      <c r="I417" s="422"/>
      <c r="J417" s="422"/>
      <c r="K417" s="422"/>
      <c r="L417" s="422"/>
      <c r="M417" s="422"/>
      <c r="N417" s="422"/>
      <c r="O417" s="422"/>
      <c r="P417" s="422"/>
      <c r="Q417" s="29"/>
      <c r="R417" s="24"/>
      <c r="U417" s="29"/>
      <c r="V417" s="29"/>
    </row>
    <row r="418" spans="1:22" x14ac:dyDescent="0.2">
      <c r="A418" s="2"/>
      <c r="B418" s="21"/>
      <c r="E418" s="422"/>
      <c r="F418" s="422"/>
      <c r="G418" s="422"/>
      <c r="H418" s="422"/>
      <c r="I418" s="422"/>
      <c r="J418" s="422"/>
      <c r="K418" s="422"/>
      <c r="L418" s="422"/>
      <c r="M418" s="422"/>
      <c r="N418" s="422"/>
      <c r="O418" s="422"/>
      <c r="P418" s="422"/>
      <c r="Q418" s="29"/>
      <c r="R418" s="24"/>
      <c r="U418" s="29"/>
      <c r="V418" s="29"/>
    </row>
    <row r="419" spans="1:22" x14ac:dyDescent="0.2">
      <c r="A419" s="2"/>
      <c r="B419" s="21"/>
      <c r="E419" s="422"/>
      <c r="F419" s="422"/>
      <c r="G419" s="422"/>
      <c r="H419" s="422"/>
      <c r="I419" s="422"/>
      <c r="J419" s="422"/>
      <c r="K419" s="422"/>
      <c r="L419" s="422"/>
      <c r="M419" s="422"/>
      <c r="N419" s="422"/>
      <c r="O419" s="422"/>
      <c r="P419" s="422"/>
      <c r="Q419" s="29"/>
      <c r="R419" s="24"/>
      <c r="U419" s="29"/>
      <c r="V419" s="29"/>
    </row>
    <row r="420" spans="1:22" x14ac:dyDescent="0.2">
      <c r="A420" s="2"/>
      <c r="B420" s="21"/>
      <c r="E420" s="422"/>
      <c r="F420" s="422"/>
      <c r="G420" s="422"/>
      <c r="H420" s="422"/>
      <c r="I420" s="422"/>
      <c r="J420" s="422"/>
      <c r="K420" s="422"/>
      <c r="L420" s="422"/>
      <c r="M420" s="422"/>
      <c r="N420" s="422"/>
      <c r="O420" s="422"/>
      <c r="P420" s="422"/>
      <c r="Q420" s="29"/>
      <c r="R420" s="24"/>
      <c r="U420" s="29"/>
      <c r="V420" s="29"/>
    </row>
    <row r="421" spans="1:22" x14ac:dyDescent="0.2">
      <c r="A421" s="2"/>
      <c r="B421" s="21"/>
      <c r="E421" s="422"/>
      <c r="F421" s="422"/>
      <c r="G421" s="422"/>
      <c r="H421" s="422"/>
      <c r="I421" s="422"/>
      <c r="J421" s="422"/>
      <c r="K421" s="422"/>
      <c r="L421" s="422"/>
      <c r="M421" s="422"/>
      <c r="N421" s="422"/>
      <c r="O421" s="422"/>
      <c r="P421" s="422"/>
      <c r="Q421" s="29"/>
      <c r="R421" s="24"/>
      <c r="U421" s="29"/>
      <c r="V421" s="29"/>
    </row>
    <row r="422" spans="1:22" x14ac:dyDescent="0.2">
      <c r="A422" s="2"/>
      <c r="B422" s="21"/>
      <c r="E422" s="422"/>
      <c r="F422" s="422"/>
      <c r="G422" s="422"/>
      <c r="H422" s="422"/>
      <c r="I422" s="422"/>
      <c r="J422" s="422"/>
      <c r="K422" s="422"/>
      <c r="L422" s="422"/>
      <c r="M422" s="422"/>
      <c r="N422" s="422"/>
      <c r="O422" s="422"/>
      <c r="P422" s="422"/>
      <c r="Q422" s="29"/>
      <c r="R422" s="24"/>
      <c r="U422" s="29"/>
      <c r="V422" s="29"/>
    </row>
    <row r="423" spans="1:22" x14ac:dyDescent="0.2">
      <c r="A423" s="2"/>
      <c r="B423" s="21"/>
      <c r="E423" s="422"/>
      <c r="F423" s="422"/>
      <c r="G423" s="422"/>
      <c r="H423" s="422"/>
      <c r="I423" s="422"/>
      <c r="J423" s="422"/>
      <c r="K423" s="422"/>
      <c r="L423" s="422"/>
      <c r="M423" s="422"/>
      <c r="N423" s="422"/>
      <c r="O423" s="422"/>
      <c r="P423" s="422"/>
      <c r="Q423" s="29"/>
      <c r="R423" s="24"/>
      <c r="U423" s="29"/>
      <c r="V423" s="29"/>
    </row>
    <row r="424" spans="1:22" x14ac:dyDescent="0.2">
      <c r="A424" s="2"/>
      <c r="B424" s="21"/>
      <c r="E424" s="422"/>
      <c r="F424" s="422"/>
      <c r="G424" s="422"/>
      <c r="H424" s="422"/>
      <c r="I424" s="422"/>
      <c r="J424" s="422"/>
      <c r="K424" s="422"/>
      <c r="L424" s="422"/>
      <c r="M424" s="422"/>
      <c r="N424" s="422"/>
      <c r="O424" s="422"/>
      <c r="P424" s="422"/>
      <c r="Q424" s="29"/>
      <c r="R424" s="24"/>
      <c r="U424" s="29"/>
      <c r="V424" s="29"/>
    </row>
    <row r="425" spans="1:22" x14ac:dyDescent="0.2">
      <c r="A425" s="2"/>
      <c r="B425" s="21"/>
      <c r="E425" s="422"/>
      <c r="F425" s="422"/>
      <c r="G425" s="422"/>
      <c r="H425" s="422"/>
      <c r="I425" s="422"/>
      <c r="J425" s="422"/>
      <c r="K425" s="422"/>
      <c r="L425" s="422"/>
      <c r="M425" s="422"/>
      <c r="N425" s="422"/>
      <c r="O425" s="422"/>
      <c r="P425" s="422"/>
      <c r="Q425" s="29"/>
      <c r="R425" s="24"/>
      <c r="U425" s="29"/>
      <c r="V425" s="29"/>
    </row>
    <row r="426" spans="1:22" x14ac:dyDescent="0.2">
      <c r="A426" s="2"/>
      <c r="B426" s="21"/>
      <c r="E426" s="422"/>
      <c r="F426" s="422"/>
      <c r="G426" s="422"/>
      <c r="H426" s="422"/>
      <c r="I426" s="422"/>
      <c r="J426" s="422"/>
      <c r="K426" s="422"/>
      <c r="L426" s="422"/>
      <c r="M426" s="422"/>
      <c r="N426" s="422"/>
      <c r="O426" s="422"/>
      <c r="P426" s="422"/>
      <c r="Q426" s="29"/>
      <c r="R426" s="24"/>
      <c r="U426" s="29"/>
      <c r="V426" s="29"/>
    </row>
    <row r="427" spans="1:22" x14ac:dyDescent="0.2">
      <c r="A427" s="2"/>
      <c r="B427" s="21"/>
      <c r="E427" s="422"/>
      <c r="F427" s="422"/>
      <c r="G427" s="422"/>
      <c r="H427" s="422"/>
      <c r="I427" s="422"/>
      <c r="J427" s="422"/>
      <c r="K427" s="422"/>
      <c r="L427" s="422"/>
      <c r="M427" s="422"/>
      <c r="N427" s="422"/>
      <c r="O427" s="422"/>
      <c r="P427" s="422"/>
      <c r="Q427" s="29"/>
      <c r="R427" s="24"/>
      <c r="U427" s="29"/>
      <c r="V427" s="29"/>
    </row>
    <row r="428" spans="1:22" x14ac:dyDescent="0.2">
      <c r="A428" s="2"/>
      <c r="B428" s="21"/>
      <c r="E428" s="422"/>
      <c r="F428" s="422"/>
      <c r="G428" s="422"/>
      <c r="H428" s="422"/>
      <c r="I428" s="422"/>
      <c r="J428" s="422"/>
      <c r="K428" s="422"/>
      <c r="L428" s="422"/>
      <c r="M428" s="422"/>
      <c r="N428" s="422"/>
      <c r="O428" s="422"/>
      <c r="P428" s="422"/>
      <c r="Q428" s="29"/>
      <c r="R428" s="24"/>
      <c r="U428" s="29"/>
      <c r="V428" s="29"/>
    </row>
    <row r="429" spans="1:22" x14ac:dyDescent="0.2">
      <c r="A429" s="2"/>
      <c r="B429" s="21"/>
      <c r="E429" s="422"/>
      <c r="F429" s="422"/>
      <c r="G429" s="422"/>
      <c r="H429" s="422"/>
      <c r="I429" s="422"/>
      <c r="J429" s="422"/>
      <c r="K429" s="422"/>
      <c r="L429" s="422"/>
      <c r="M429" s="422"/>
      <c r="N429" s="422"/>
      <c r="O429" s="422"/>
      <c r="P429" s="422"/>
      <c r="Q429" s="29"/>
      <c r="R429" s="24"/>
      <c r="U429" s="29"/>
      <c r="V429" s="29"/>
    </row>
    <row r="430" spans="1:22" x14ac:dyDescent="0.2">
      <c r="A430" s="2"/>
      <c r="B430" s="21"/>
      <c r="E430" s="422"/>
      <c r="F430" s="422"/>
      <c r="G430" s="422"/>
      <c r="H430" s="422"/>
      <c r="I430" s="422"/>
      <c r="J430" s="422"/>
      <c r="K430" s="422"/>
      <c r="L430" s="422"/>
      <c r="M430" s="422"/>
      <c r="N430" s="422"/>
      <c r="O430" s="422"/>
      <c r="P430" s="422"/>
      <c r="Q430" s="29"/>
      <c r="R430" s="24"/>
      <c r="U430" s="29"/>
      <c r="V430" s="29"/>
    </row>
    <row r="431" spans="1:22" x14ac:dyDescent="0.2">
      <c r="A431" s="2"/>
      <c r="B431" s="21"/>
      <c r="E431" s="422"/>
      <c r="F431" s="422"/>
      <c r="G431" s="422"/>
      <c r="H431" s="422"/>
      <c r="I431" s="422"/>
      <c r="J431" s="422"/>
      <c r="K431" s="422"/>
      <c r="L431" s="422"/>
      <c r="M431" s="422"/>
      <c r="N431" s="422"/>
      <c r="O431" s="422"/>
      <c r="P431" s="422"/>
      <c r="Q431" s="29"/>
      <c r="R431" s="24"/>
      <c r="U431" s="29"/>
      <c r="V431" s="29"/>
    </row>
    <row r="432" spans="1:22" x14ac:dyDescent="0.2">
      <c r="A432" s="2"/>
      <c r="B432" s="21"/>
      <c r="E432" s="422"/>
      <c r="F432" s="422"/>
      <c r="G432" s="422"/>
      <c r="H432" s="422"/>
      <c r="I432" s="422"/>
      <c r="J432" s="422"/>
      <c r="K432" s="422"/>
      <c r="L432" s="422"/>
      <c r="M432" s="422"/>
      <c r="N432" s="422"/>
      <c r="O432" s="422"/>
      <c r="P432" s="422"/>
      <c r="Q432" s="29"/>
      <c r="R432" s="24"/>
      <c r="U432" s="29"/>
      <c r="V432" s="29"/>
    </row>
    <row r="433" spans="1:22" x14ac:dyDescent="0.2">
      <c r="A433" s="2"/>
      <c r="B433" s="21"/>
      <c r="E433" s="422"/>
      <c r="F433" s="422"/>
      <c r="G433" s="422"/>
      <c r="H433" s="422"/>
      <c r="I433" s="422"/>
      <c r="J433" s="422"/>
      <c r="K433" s="422"/>
      <c r="L433" s="422"/>
      <c r="M433" s="422"/>
      <c r="N433" s="422"/>
      <c r="O433" s="422"/>
      <c r="P433" s="422"/>
      <c r="Q433" s="29"/>
      <c r="R433" s="24"/>
      <c r="U433" s="29"/>
      <c r="V433" s="29"/>
    </row>
    <row r="434" spans="1:22" x14ac:dyDescent="0.2">
      <c r="A434" s="2"/>
      <c r="B434" s="21"/>
      <c r="E434" s="422"/>
      <c r="F434" s="422"/>
      <c r="G434" s="422"/>
      <c r="H434" s="422"/>
      <c r="I434" s="422"/>
      <c r="J434" s="422"/>
      <c r="K434" s="422"/>
      <c r="L434" s="422"/>
      <c r="M434" s="422"/>
      <c r="N434" s="422"/>
      <c r="O434" s="422"/>
      <c r="P434" s="422"/>
      <c r="Q434" s="29"/>
      <c r="R434" s="24"/>
      <c r="U434" s="29"/>
      <c r="V434" s="29"/>
    </row>
    <row r="435" spans="1:22" x14ac:dyDescent="0.2">
      <c r="A435" s="2"/>
      <c r="B435" s="21"/>
      <c r="E435" s="422"/>
      <c r="F435" s="422"/>
      <c r="G435" s="422"/>
      <c r="H435" s="422"/>
      <c r="I435" s="422"/>
      <c r="J435" s="422"/>
      <c r="K435" s="422"/>
      <c r="L435" s="422"/>
      <c r="M435" s="422"/>
      <c r="N435" s="422"/>
      <c r="O435" s="422"/>
      <c r="P435" s="422"/>
      <c r="Q435" s="29"/>
      <c r="R435" s="24"/>
      <c r="U435" s="29"/>
      <c r="V435" s="29"/>
    </row>
    <row r="436" spans="1:22" x14ac:dyDescent="0.2">
      <c r="A436" s="2"/>
      <c r="B436" s="21"/>
      <c r="E436" s="422"/>
      <c r="F436" s="422"/>
      <c r="G436" s="422"/>
      <c r="H436" s="422"/>
      <c r="I436" s="422"/>
      <c r="J436" s="422"/>
      <c r="K436" s="422"/>
      <c r="L436" s="422"/>
      <c r="M436" s="422"/>
      <c r="N436" s="422"/>
      <c r="O436" s="422"/>
      <c r="P436" s="422"/>
      <c r="Q436" s="29"/>
      <c r="R436" s="24"/>
      <c r="U436" s="29"/>
      <c r="V436" s="29"/>
    </row>
    <row r="437" spans="1:22" x14ac:dyDescent="0.2">
      <c r="A437" s="2"/>
      <c r="B437" s="21"/>
      <c r="E437" s="422"/>
      <c r="F437" s="422"/>
      <c r="G437" s="422"/>
      <c r="H437" s="422"/>
      <c r="I437" s="422"/>
      <c r="J437" s="422"/>
      <c r="K437" s="422"/>
      <c r="L437" s="422"/>
      <c r="M437" s="422"/>
      <c r="N437" s="422"/>
      <c r="O437" s="422"/>
      <c r="P437" s="422"/>
      <c r="Q437" s="29"/>
      <c r="R437" s="24"/>
      <c r="U437" s="29"/>
      <c r="V437" s="29"/>
    </row>
    <row r="438" spans="1:22" x14ac:dyDescent="0.2">
      <c r="A438" s="2"/>
      <c r="B438" s="21"/>
      <c r="E438" s="422"/>
      <c r="F438" s="422"/>
      <c r="G438" s="422"/>
      <c r="H438" s="422"/>
      <c r="I438" s="422"/>
      <c r="J438" s="422"/>
      <c r="K438" s="422"/>
      <c r="L438" s="422"/>
      <c r="M438" s="422"/>
      <c r="N438" s="422"/>
      <c r="O438" s="422"/>
      <c r="P438" s="422"/>
      <c r="Q438" s="29"/>
      <c r="R438" s="24"/>
      <c r="U438" s="29"/>
      <c r="V438" s="29"/>
    </row>
    <row r="439" spans="1:22" x14ac:dyDescent="0.2">
      <c r="A439" s="2"/>
      <c r="B439" s="21"/>
      <c r="E439" s="422"/>
      <c r="F439" s="422"/>
      <c r="G439" s="422"/>
      <c r="H439" s="422"/>
      <c r="I439" s="422"/>
      <c r="J439" s="422"/>
      <c r="K439" s="422"/>
      <c r="L439" s="422"/>
      <c r="M439" s="422"/>
      <c r="N439" s="422"/>
      <c r="O439" s="422"/>
      <c r="P439" s="422"/>
      <c r="Q439" s="29"/>
      <c r="R439" s="24"/>
      <c r="U439" s="29"/>
      <c r="V439" s="29"/>
    </row>
    <row r="440" spans="1:22" x14ac:dyDescent="0.2">
      <c r="A440" s="2"/>
      <c r="B440" s="21"/>
      <c r="E440" s="422"/>
      <c r="F440" s="422"/>
      <c r="G440" s="422"/>
      <c r="H440" s="422"/>
      <c r="I440" s="422"/>
      <c r="J440" s="422"/>
      <c r="K440" s="422"/>
      <c r="L440" s="422"/>
      <c r="M440" s="422"/>
      <c r="N440" s="422"/>
      <c r="O440" s="422"/>
      <c r="P440" s="422"/>
      <c r="Q440" s="29"/>
      <c r="R440" s="24"/>
      <c r="U440" s="29"/>
      <c r="V440" s="29"/>
    </row>
    <row r="441" spans="1:22" x14ac:dyDescent="0.2">
      <c r="A441" s="2"/>
      <c r="B441" s="21"/>
      <c r="E441" s="422"/>
      <c r="F441" s="422"/>
      <c r="G441" s="422"/>
      <c r="H441" s="422"/>
      <c r="I441" s="422"/>
      <c r="J441" s="422"/>
      <c r="K441" s="422"/>
      <c r="L441" s="422"/>
      <c r="M441" s="422"/>
      <c r="N441" s="422"/>
      <c r="O441" s="422"/>
      <c r="P441" s="422"/>
      <c r="Q441" s="29"/>
      <c r="R441" s="24"/>
      <c r="U441" s="29"/>
      <c r="V441" s="29"/>
    </row>
    <row r="442" spans="1:22" x14ac:dyDescent="0.2">
      <c r="A442" s="2"/>
      <c r="B442" s="21"/>
      <c r="E442" s="422"/>
      <c r="F442" s="422"/>
      <c r="G442" s="422"/>
      <c r="H442" s="422"/>
      <c r="I442" s="422"/>
      <c r="J442" s="422"/>
      <c r="K442" s="422"/>
      <c r="L442" s="422"/>
      <c r="M442" s="422"/>
      <c r="N442" s="422"/>
      <c r="O442" s="422"/>
      <c r="P442" s="422"/>
      <c r="Q442" s="29"/>
      <c r="R442" s="24"/>
      <c r="U442" s="29"/>
      <c r="V442" s="29"/>
    </row>
    <row r="443" spans="1:22" x14ac:dyDescent="0.2">
      <c r="A443" s="2"/>
      <c r="B443" s="21"/>
      <c r="E443" s="422"/>
      <c r="F443" s="422"/>
      <c r="G443" s="422"/>
      <c r="H443" s="422"/>
      <c r="I443" s="422"/>
      <c r="J443" s="422"/>
      <c r="K443" s="422"/>
      <c r="L443" s="422"/>
      <c r="M443" s="422"/>
      <c r="N443" s="422"/>
      <c r="O443" s="422"/>
      <c r="P443" s="422"/>
      <c r="Q443" s="29"/>
      <c r="R443" s="24"/>
      <c r="U443" s="29"/>
      <c r="V443" s="29"/>
    </row>
    <row r="444" spans="1:22" x14ac:dyDescent="0.2">
      <c r="A444" s="2"/>
      <c r="B444" s="21"/>
      <c r="E444" s="422"/>
      <c r="F444" s="422"/>
      <c r="G444" s="422"/>
      <c r="H444" s="422"/>
      <c r="I444" s="422"/>
      <c r="J444" s="422"/>
      <c r="K444" s="422"/>
      <c r="L444" s="422"/>
      <c r="M444" s="422"/>
      <c r="N444" s="422"/>
      <c r="O444" s="422"/>
      <c r="P444" s="422"/>
      <c r="Q444" s="29"/>
      <c r="R444" s="24"/>
      <c r="U444" s="29"/>
      <c r="V444" s="29"/>
    </row>
    <row r="445" spans="1:22" x14ac:dyDescent="0.2">
      <c r="A445" s="2"/>
      <c r="B445" s="21"/>
      <c r="E445" s="422"/>
      <c r="F445" s="422"/>
      <c r="G445" s="422"/>
      <c r="H445" s="422"/>
      <c r="I445" s="422"/>
      <c r="J445" s="422"/>
      <c r="K445" s="422"/>
      <c r="L445" s="422"/>
      <c r="M445" s="422"/>
      <c r="N445" s="422"/>
      <c r="O445" s="422"/>
      <c r="P445" s="422"/>
      <c r="Q445" s="29"/>
      <c r="R445" s="24"/>
      <c r="U445" s="29"/>
      <c r="V445" s="29"/>
    </row>
    <row r="446" spans="1:22" x14ac:dyDescent="0.2">
      <c r="A446" s="2"/>
      <c r="B446" s="21"/>
      <c r="E446" s="422"/>
      <c r="F446" s="422"/>
      <c r="G446" s="422"/>
      <c r="H446" s="422"/>
      <c r="I446" s="422"/>
      <c r="J446" s="422"/>
      <c r="K446" s="422"/>
      <c r="L446" s="422"/>
      <c r="M446" s="422"/>
      <c r="N446" s="422"/>
      <c r="O446" s="422"/>
      <c r="P446" s="422"/>
      <c r="Q446" s="29"/>
      <c r="R446" s="24"/>
      <c r="U446" s="29"/>
      <c r="V446" s="29"/>
    </row>
    <row r="447" spans="1:22" x14ac:dyDescent="0.2">
      <c r="A447" s="2"/>
      <c r="B447" s="21"/>
      <c r="E447" s="422"/>
      <c r="F447" s="422"/>
      <c r="G447" s="422"/>
      <c r="H447" s="422"/>
      <c r="I447" s="422"/>
      <c r="J447" s="422"/>
      <c r="K447" s="422"/>
      <c r="L447" s="422"/>
      <c r="M447" s="422"/>
      <c r="N447" s="422"/>
      <c r="O447" s="422"/>
      <c r="P447" s="422"/>
      <c r="Q447" s="29"/>
      <c r="R447" s="24"/>
      <c r="U447" s="29"/>
      <c r="V447" s="29"/>
    </row>
    <row r="448" spans="1:22" x14ac:dyDescent="0.2">
      <c r="A448" s="2"/>
      <c r="B448" s="21"/>
      <c r="E448" s="422"/>
      <c r="F448" s="422"/>
      <c r="G448" s="422"/>
      <c r="H448" s="422"/>
      <c r="I448" s="422"/>
      <c r="J448" s="422"/>
      <c r="K448" s="422"/>
      <c r="L448" s="422"/>
      <c r="M448" s="422"/>
      <c r="N448" s="422"/>
      <c r="O448" s="422"/>
      <c r="P448" s="422"/>
      <c r="Q448" s="29"/>
      <c r="R448" s="24"/>
      <c r="U448" s="29"/>
      <c r="V448" s="29"/>
    </row>
    <row r="449" spans="1:22" x14ac:dyDescent="0.2">
      <c r="A449" s="2"/>
      <c r="B449" s="21"/>
      <c r="E449" s="422"/>
      <c r="F449" s="422"/>
      <c r="G449" s="422"/>
      <c r="H449" s="422"/>
      <c r="I449" s="422"/>
      <c r="J449" s="422"/>
      <c r="K449" s="422"/>
      <c r="L449" s="422"/>
      <c r="M449" s="422"/>
      <c r="N449" s="422"/>
      <c r="O449" s="422"/>
      <c r="P449" s="422"/>
      <c r="Q449" s="29"/>
      <c r="R449" s="24"/>
      <c r="U449" s="29"/>
      <c r="V449" s="29"/>
    </row>
    <row r="450" spans="1:22" x14ac:dyDescent="0.2">
      <c r="A450" s="2"/>
      <c r="B450" s="21"/>
      <c r="E450" s="422"/>
      <c r="F450" s="422"/>
      <c r="G450" s="422"/>
      <c r="H450" s="422"/>
      <c r="I450" s="422"/>
      <c r="J450" s="422"/>
      <c r="K450" s="422"/>
      <c r="L450" s="422"/>
      <c r="M450" s="422"/>
      <c r="N450" s="422"/>
      <c r="O450" s="422"/>
      <c r="P450" s="422"/>
      <c r="Q450" s="29"/>
      <c r="R450" s="24"/>
      <c r="U450" s="29"/>
      <c r="V450" s="29"/>
    </row>
    <row r="451" spans="1:22" x14ac:dyDescent="0.2">
      <c r="A451" s="2"/>
      <c r="B451" s="21"/>
      <c r="E451" s="422"/>
      <c r="F451" s="422"/>
      <c r="G451" s="422"/>
      <c r="H451" s="422"/>
      <c r="I451" s="422"/>
      <c r="J451" s="422"/>
      <c r="K451" s="422"/>
      <c r="L451" s="422"/>
      <c r="M451" s="422"/>
      <c r="N451" s="422"/>
      <c r="O451" s="422"/>
      <c r="P451" s="422"/>
      <c r="Q451" s="29"/>
      <c r="R451" s="24"/>
      <c r="U451" s="29"/>
      <c r="V451" s="29"/>
    </row>
    <row r="452" spans="1:22" x14ac:dyDescent="0.2">
      <c r="A452" s="2"/>
      <c r="B452" s="21"/>
      <c r="E452" s="422"/>
      <c r="F452" s="422"/>
      <c r="G452" s="422"/>
      <c r="H452" s="422"/>
      <c r="I452" s="422"/>
      <c r="J452" s="422"/>
      <c r="K452" s="422"/>
      <c r="L452" s="422"/>
      <c r="M452" s="422"/>
      <c r="N452" s="422"/>
      <c r="O452" s="422"/>
      <c r="P452" s="422"/>
      <c r="Q452" s="29"/>
      <c r="R452" s="24"/>
      <c r="U452" s="29"/>
      <c r="V452" s="29"/>
    </row>
    <row r="453" spans="1:22" x14ac:dyDescent="0.2">
      <c r="A453" s="2"/>
      <c r="B453" s="21"/>
      <c r="E453" s="422"/>
      <c r="F453" s="422"/>
      <c r="G453" s="422"/>
      <c r="H453" s="422"/>
      <c r="I453" s="422"/>
      <c r="J453" s="422"/>
      <c r="K453" s="422"/>
      <c r="L453" s="422"/>
      <c r="M453" s="422"/>
      <c r="N453" s="422"/>
      <c r="O453" s="422"/>
      <c r="P453" s="422"/>
      <c r="Q453" s="29"/>
      <c r="R453" s="24"/>
      <c r="U453" s="29"/>
      <c r="V453" s="29"/>
    </row>
    <row r="454" spans="1:22" x14ac:dyDescent="0.2">
      <c r="A454" s="2"/>
      <c r="B454" s="21"/>
      <c r="E454" s="422"/>
      <c r="F454" s="422"/>
      <c r="G454" s="422"/>
      <c r="H454" s="422"/>
      <c r="I454" s="422"/>
      <c r="J454" s="422"/>
      <c r="K454" s="422"/>
      <c r="L454" s="422"/>
      <c r="M454" s="422"/>
      <c r="N454" s="422"/>
      <c r="O454" s="422"/>
      <c r="P454" s="422"/>
      <c r="Q454" s="29"/>
      <c r="R454" s="24"/>
      <c r="U454" s="29"/>
      <c r="V454" s="29"/>
    </row>
    <row r="455" spans="1:22" x14ac:dyDescent="0.2">
      <c r="A455" s="2"/>
      <c r="B455" s="21"/>
      <c r="E455" s="422"/>
      <c r="F455" s="422"/>
      <c r="G455" s="422"/>
      <c r="H455" s="422"/>
      <c r="I455" s="422"/>
      <c r="J455" s="422"/>
      <c r="K455" s="422"/>
      <c r="L455" s="422"/>
      <c r="M455" s="422"/>
      <c r="N455" s="422"/>
      <c r="O455" s="422"/>
      <c r="P455" s="422"/>
      <c r="Q455" s="29"/>
      <c r="R455" s="24"/>
      <c r="U455" s="29"/>
      <c r="V455" s="29"/>
    </row>
    <row r="456" spans="1:22" x14ac:dyDescent="0.2">
      <c r="A456" s="2"/>
      <c r="B456" s="21"/>
      <c r="E456" s="422"/>
      <c r="F456" s="422"/>
      <c r="G456" s="422"/>
      <c r="H456" s="422"/>
      <c r="I456" s="422"/>
      <c r="J456" s="422"/>
      <c r="K456" s="422"/>
      <c r="L456" s="422"/>
      <c r="M456" s="422"/>
      <c r="N456" s="422"/>
      <c r="O456" s="422"/>
      <c r="P456" s="422"/>
      <c r="Q456" s="29"/>
      <c r="R456" s="24"/>
      <c r="U456" s="29"/>
      <c r="V456" s="29"/>
    </row>
    <row r="457" spans="1:22" x14ac:dyDescent="0.2">
      <c r="A457" s="2"/>
      <c r="B457" s="21"/>
      <c r="E457" s="422"/>
      <c r="F457" s="422"/>
      <c r="G457" s="422"/>
      <c r="H457" s="422"/>
      <c r="I457" s="422"/>
      <c r="J457" s="422"/>
      <c r="K457" s="422"/>
      <c r="L457" s="422"/>
      <c r="M457" s="422"/>
      <c r="N457" s="422"/>
      <c r="O457" s="422"/>
      <c r="P457" s="422"/>
      <c r="Q457" s="29"/>
      <c r="R457" s="24"/>
      <c r="U457" s="29"/>
      <c r="V457" s="29"/>
    </row>
    <row r="458" spans="1:22" x14ac:dyDescent="0.2">
      <c r="A458" s="2"/>
      <c r="B458" s="21"/>
      <c r="E458" s="422"/>
      <c r="F458" s="422"/>
      <c r="G458" s="422"/>
      <c r="H458" s="422"/>
      <c r="I458" s="422"/>
      <c r="J458" s="422"/>
      <c r="K458" s="422"/>
      <c r="L458" s="422"/>
      <c r="M458" s="422"/>
      <c r="N458" s="422"/>
      <c r="O458" s="422"/>
      <c r="P458" s="422"/>
      <c r="Q458" s="29"/>
      <c r="R458" s="24"/>
      <c r="U458" s="29"/>
      <c r="V458" s="29"/>
    </row>
    <row r="459" spans="1:22" x14ac:dyDescent="0.2">
      <c r="A459" s="2"/>
      <c r="B459" s="21"/>
      <c r="E459" s="422"/>
      <c r="F459" s="422"/>
      <c r="G459" s="422"/>
      <c r="H459" s="422"/>
      <c r="I459" s="422"/>
      <c r="J459" s="422"/>
      <c r="K459" s="422"/>
      <c r="L459" s="422"/>
      <c r="M459" s="422"/>
      <c r="N459" s="422"/>
      <c r="O459" s="422"/>
      <c r="P459" s="422"/>
      <c r="Q459" s="29"/>
      <c r="R459" s="24"/>
      <c r="U459" s="29"/>
      <c r="V459" s="29"/>
    </row>
    <row r="460" spans="1:22" x14ac:dyDescent="0.2">
      <c r="A460" s="2"/>
      <c r="B460" s="21"/>
      <c r="E460" s="422"/>
      <c r="F460" s="422"/>
      <c r="G460" s="422"/>
      <c r="H460" s="422"/>
      <c r="I460" s="422"/>
      <c r="J460" s="422"/>
      <c r="K460" s="422"/>
      <c r="L460" s="422"/>
      <c r="M460" s="422"/>
      <c r="N460" s="422"/>
      <c r="O460" s="422"/>
      <c r="P460" s="422"/>
      <c r="Q460" s="29"/>
      <c r="R460" s="24"/>
      <c r="U460" s="29"/>
      <c r="V460" s="29"/>
    </row>
    <row r="461" spans="1:22" x14ac:dyDescent="0.2">
      <c r="A461" s="2"/>
      <c r="B461" s="21"/>
      <c r="E461" s="422"/>
      <c r="F461" s="422"/>
      <c r="G461" s="422"/>
      <c r="H461" s="422"/>
      <c r="I461" s="422"/>
      <c r="J461" s="422"/>
      <c r="K461" s="422"/>
      <c r="L461" s="422"/>
      <c r="M461" s="422"/>
      <c r="N461" s="422"/>
      <c r="O461" s="422"/>
      <c r="P461" s="422"/>
      <c r="Q461" s="29"/>
      <c r="R461" s="24"/>
      <c r="U461" s="29"/>
      <c r="V461" s="29"/>
    </row>
    <row r="462" spans="1:22" x14ac:dyDescent="0.2">
      <c r="A462" s="2"/>
      <c r="B462" s="21"/>
      <c r="E462" s="422"/>
      <c r="F462" s="422"/>
      <c r="G462" s="422"/>
      <c r="H462" s="422"/>
      <c r="I462" s="422"/>
      <c r="J462" s="422"/>
      <c r="K462" s="422"/>
      <c r="L462" s="422"/>
      <c r="M462" s="422"/>
      <c r="N462" s="422"/>
      <c r="O462" s="422"/>
      <c r="P462" s="422"/>
      <c r="Q462" s="29"/>
      <c r="R462" s="24"/>
      <c r="U462" s="29"/>
      <c r="V462" s="29"/>
    </row>
    <row r="463" spans="1:22" x14ac:dyDescent="0.2">
      <c r="A463" s="2"/>
      <c r="B463" s="21"/>
      <c r="E463" s="422"/>
      <c r="F463" s="422"/>
      <c r="G463" s="422"/>
      <c r="H463" s="422"/>
      <c r="I463" s="422"/>
      <c r="J463" s="422"/>
      <c r="K463" s="422"/>
      <c r="L463" s="422"/>
      <c r="M463" s="422"/>
      <c r="N463" s="422"/>
      <c r="O463" s="422"/>
      <c r="P463" s="422"/>
      <c r="Q463" s="29"/>
      <c r="R463" s="24"/>
      <c r="U463" s="29"/>
      <c r="V463" s="29"/>
    </row>
    <row r="464" spans="1:22" x14ac:dyDescent="0.2">
      <c r="A464" s="2"/>
      <c r="B464" s="21"/>
      <c r="E464" s="422"/>
      <c r="F464" s="422"/>
      <c r="G464" s="422"/>
      <c r="H464" s="422"/>
      <c r="I464" s="422"/>
      <c r="J464" s="422"/>
      <c r="K464" s="422"/>
      <c r="L464" s="422"/>
      <c r="M464" s="422"/>
      <c r="N464" s="422"/>
      <c r="O464" s="422"/>
      <c r="P464" s="422"/>
      <c r="Q464" s="29"/>
      <c r="R464" s="24"/>
      <c r="U464" s="29"/>
      <c r="V464" s="29"/>
    </row>
    <row r="465" spans="1:22" x14ac:dyDescent="0.2">
      <c r="A465" s="2"/>
      <c r="B465" s="21"/>
      <c r="E465" s="422"/>
      <c r="F465" s="422"/>
      <c r="G465" s="422"/>
      <c r="H465" s="422"/>
      <c r="I465" s="422"/>
      <c r="J465" s="422"/>
      <c r="K465" s="422"/>
      <c r="L465" s="422"/>
      <c r="M465" s="422"/>
      <c r="N465" s="422"/>
      <c r="O465" s="422"/>
      <c r="P465" s="422"/>
      <c r="Q465" s="29"/>
      <c r="R465" s="24"/>
      <c r="U465" s="29"/>
      <c r="V465" s="29"/>
    </row>
    <row r="466" spans="1:22" x14ac:dyDescent="0.2">
      <c r="A466" s="2"/>
      <c r="B466" s="21"/>
      <c r="E466" s="422"/>
      <c r="F466" s="422"/>
      <c r="G466" s="422"/>
      <c r="H466" s="422"/>
      <c r="I466" s="422"/>
      <c r="J466" s="422"/>
      <c r="K466" s="422"/>
      <c r="L466" s="422"/>
      <c r="M466" s="422"/>
      <c r="N466" s="422"/>
      <c r="O466" s="422"/>
      <c r="P466" s="422"/>
      <c r="Q466" s="29"/>
      <c r="R466" s="24"/>
      <c r="U466" s="29"/>
      <c r="V466" s="29"/>
    </row>
    <row r="467" spans="1:22" x14ac:dyDescent="0.2">
      <c r="A467" s="2"/>
      <c r="B467" s="21"/>
      <c r="E467" s="422"/>
      <c r="F467" s="422"/>
      <c r="G467" s="422"/>
      <c r="H467" s="422"/>
      <c r="I467" s="422"/>
      <c r="J467" s="422"/>
      <c r="K467" s="422"/>
      <c r="L467" s="422"/>
      <c r="M467" s="422"/>
      <c r="N467" s="422"/>
      <c r="O467" s="422"/>
      <c r="P467" s="422"/>
      <c r="Q467" s="29"/>
      <c r="R467" s="24"/>
      <c r="U467" s="29"/>
      <c r="V467" s="29"/>
    </row>
    <row r="468" spans="1:22" x14ac:dyDescent="0.2">
      <c r="A468" s="2"/>
      <c r="B468" s="21"/>
      <c r="E468" s="422"/>
      <c r="F468" s="422"/>
      <c r="G468" s="422"/>
      <c r="H468" s="422"/>
      <c r="I468" s="422"/>
      <c r="J468" s="422"/>
      <c r="K468" s="422"/>
      <c r="L468" s="422"/>
      <c r="M468" s="422"/>
      <c r="N468" s="422"/>
      <c r="O468" s="422"/>
      <c r="P468" s="422"/>
      <c r="Q468" s="29"/>
      <c r="R468" s="24"/>
      <c r="U468" s="29"/>
      <c r="V468" s="29"/>
    </row>
    <row r="469" spans="1:22" x14ac:dyDescent="0.2">
      <c r="A469" s="2"/>
      <c r="B469" s="21"/>
      <c r="E469" s="422"/>
      <c r="F469" s="422"/>
      <c r="G469" s="422"/>
      <c r="H469" s="422"/>
      <c r="I469" s="422"/>
      <c r="J469" s="422"/>
      <c r="K469" s="422"/>
      <c r="L469" s="422"/>
      <c r="M469" s="422"/>
      <c r="N469" s="422"/>
      <c r="O469" s="422"/>
      <c r="P469" s="422"/>
      <c r="Q469" s="29"/>
      <c r="R469" s="24"/>
      <c r="U469" s="29"/>
      <c r="V469" s="29"/>
    </row>
    <row r="470" spans="1:22" x14ac:dyDescent="0.2">
      <c r="A470" s="2"/>
      <c r="B470" s="21"/>
      <c r="E470" s="422"/>
      <c r="F470" s="422"/>
      <c r="G470" s="422"/>
      <c r="H470" s="422"/>
      <c r="I470" s="422"/>
      <c r="J470" s="422"/>
      <c r="K470" s="422"/>
      <c r="L470" s="422"/>
      <c r="M470" s="422"/>
      <c r="N470" s="422"/>
      <c r="O470" s="422"/>
      <c r="P470" s="422"/>
      <c r="Q470" s="29"/>
      <c r="R470" s="24"/>
      <c r="U470" s="29"/>
      <c r="V470" s="29"/>
    </row>
    <row r="471" spans="1:22" x14ac:dyDescent="0.2">
      <c r="A471" s="2"/>
      <c r="B471" s="21"/>
      <c r="E471" s="422"/>
      <c r="F471" s="422"/>
      <c r="G471" s="422"/>
      <c r="H471" s="422"/>
      <c r="I471" s="422"/>
      <c r="J471" s="422"/>
      <c r="K471" s="422"/>
      <c r="L471" s="422"/>
      <c r="M471" s="422"/>
      <c r="N471" s="422"/>
      <c r="O471" s="422"/>
      <c r="P471" s="422"/>
      <c r="Q471" s="29"/>
      <c r="R471" s="24"/>
      <c r="U471" s="29"/>
      <c r="V471" s="29"/>
    </row>
    <row r="472" spans="1:22" x14ac:dyDescent="0.2">
      <c r="A472" s="2"/>
      <c r="B472" s="21"/>
      <c r="E472" s="422"/>
      <c r="F472" s="422"/>
      <c r="G472" s="422"/>
      <c r="H472" s="422"/>
      <c r="I472" s="422"/>
      <c r="J472" s="422"/>
      <c r="K472" s="422"/>
      <c r="L472" s="422"/>
      <c r="M472" s="422"/>
      <c r="N472" s="422"/>
      <c r="O472" s="422"/>
      <c r="P472" s="422"/>
      <c r="Q472" s="29"/>
      <c r="R472" s="24"/>
      <c r="U472" s="29"/>
      <c r="V472" s="29"/>
    </row>
    <row r="473" spans="1:22" x14ac:dyDescent="0.2">
      <c r="A473" s="2"/>
      <c r="B473" s="21"/>
      <c r="E473" s="422"/>
      <c r="F473" s="422"/>
      <c r="G473" s="422"/>
      <c r="H473" s="422"/>
      <c r="I473" s="422"/>
      <c r="J473" s="422"/>
      <c r="K473" s="422"/>
      <c r="L473" s="422"/>
      <c r="M473" s="422"/>
      <c r="N473" s="422"/>
      <c r="O473" s="422"/>
      <c r="P473" s="422"/>
      <c r="Q473" s="29"/>
      <c r="R473" s="24"/>
      <c r="U473" s="29"/>
      <c r="V473" s="29"/>
    </row>
    <row r="474" spans="1:22" x14ac:dyDescent="0.2">
      <c r="A474" s="2"/>
      <c r="B474" s="21"/>
      <c r="E474" s="422"/>
      <c r="F474" s="422"/>
      <c r="G474" s="422"/>
      <c r="H474" s="422"/>
      <c r="I474" s="422"/>
      <c r="J474" s="422"/>
      <c r="K474" s="422"/>
      <c r="L474" s="422"/>
      <c r="M474" s="422"/>
      <c r="N474" s="422"/>
      <c r="O474" s="422"/>
      <c r="P474" s="422"/>
      <c r="Q474" s="29"/>
      <c r="R474" s="24"/>
      <c r="U474" s="29"/>
      <c r="V474" s="29"/>
    </row>
    <row r="475" spans="1:22" x14ac:dyDescent="0.2">
      <c r="A475" s="2"/>
      <c r="B475" s="21"/>
      <c r="E475" s="422"/>
      <c r="F475" s="422"/>
      <c r="G475" s="422"/>
      <c r="H475" s="422"/>
      <c r="I475" s="422"/>
      <c r="J475" s="422"/>
      <c r="K475" s="422"/>
      <c r="L475" s="422"/>
      <c r="M475" s="422"/>
      <c r="N475" s="422"/>
      <c r="O475" s="422"/>
      <c r="P475" s="422"/>
      <c r="Q475" s="29"/>
      <c r="R475" s="24"/>
      <c r="U475" s="29"/>
      <c r="V475" s="29"/>
    </row>
    <row r="476" spans="1:22" x14ac:dyDescent="0.2">
      <c r="A476" s="2"/>
      <c r="B476" s="21"/>
      <c r="E476" s="422"/>
      <c r="F476" s="422"/>
      <c r="G476" s="422"/>
      <c r="H476" s="422"/>
      <c r="I476" s="422"/>
      <c r="J476" s="422"/>
      <c r="K476" s="422"/>
      <c r="L476" s="422"/>
      <c r="M476" s="422"/>
      <c r="N476" s="422"/>
      <c r="O476" s="422"/>
      <c r="P476" s="422"/>
      <c r="Q476" s="29"/>
      <c r="R476" s="24"/>
      <c r="U476" s="29"/>
      <c r="V476" s="29"/>
    </row>
    <row r="477" spans="1:22" x14ac:dyDescent="0.2">
      <c r="A477" s="2"/>
      <c r="B477" s="21"/>
      <c r="E477" s="422"/>
      <c r="F477" s="422"/>
      <c r="G477" s="422"/>
      <c r="H477" s="422"/>
      <c r="I477" s="422"/>
      <c r="J477" s="422"/>
      <c r="K477" s="422"/>
      <c r="L477" s="422"/>
      <c r="M477" s="422"/>
      <c r="N477" s="422"/>
      <c r="O477" s="422"/>
      <c r="P477" s="422"/>
      <c r="Q477" s="29"/>
      <c r="R477" s="24"/>
      <c r="U477" s="29"/>
      <c r="V477" s="29"/>
    </row>
    <row r="478" spans="1:22" x14ac:dyDescent="0.2">
      <c r="A478" s="2"/>
      <c r="B478" s="21"/>
      <c r="E478" s="422"/>
      <c r="F478" s="422"/>
      <c r="G478" s="422"/>
      <c r="H478" s="422"/>
      <c r="I478" s="422"/>
      <c r="J478" s="422"/>
      <c r="K478" s="422"/>
      <c r="L478" s="422"/>
      <c r="M478" s="422"/>
      <c r="N478" s="422"/>
      <c r="O478" s="422"/>
      <c r="P478" s="422"/>
      <c r="Q478" s="29"/>
      <c r="R478" s="24"/>
      <c r="U478" s="29"/>
      <c r="V478" s="29"/>
    </row>
    <row r="479" spans="1:22" x14ac:dyDescent="0.2">
      <c r="A479" s="2"/>
      <c r="B479" s="21"/>
      <c r="E479" s="422"/>
      <c r="F479" s="422"/>
      <c r="G479" s="422"/>
      <c r="H479" s="422"/>
      <c r="I479" s="422"/>
      <c r="J479" s="422"/>
      <c r="K479" s="422"/>
      <c r="L479" s="422"/>
      <c r="M479" s="422"/>
      <c r="N479" s="422"/>
      <c r="O479" s="422"/>
      <c r="P479" s="422"/>
      <c r="Q479" s="29"/>
      <c r="R479" s="24"/>
      <c r="U479" s="29"/>
      <c r="V479" s="29"/>
    </row>
    <row r="480" spans="1:22" x14ac:dyDescent="0.2">
      <c r="A480" s="2"/>
      <c r="B480" s="21"/>
      <c r="E480" s="422"/>
      <c r="F480" s="422"/>
      <c r="G480" s="422"/>
      <c r="H480" s="422"/>
      <c r="I480" s="422"/>
      <c r="J480" s="422"/>
      <c r="K480" s="422"/>
      <c r="L480" s="422"/>
      <c r="M480" s="422"/>
      <c r="N480" s="422"/>
      <c r="O480" s="422"/>
      <c r="P480" s="422"/>
      <c r="Q480" s="29"/>
      <c r="R480" s="24"/>
      <c r="U480" s="29"/>
      <c r="V480" s="29"/>
    </row>
    <row r="481" spans="1:22" x14ac:dyDescent="0.2">
      <c r="A481" s="2"/>
      <c r="B481" s="21"/>
      <c r="E481" s="422"/>
      <c r="F481" s="422"/>
      <c r="G481" s="422"/>
      <c r="H481" s="422"/>
      <c r="I481" s="422"/>
      <c r="J481" s="422"/>
      <c r="K481" s="422"/>
      <c r="L481" s="422"/>
      <c r="M481" s="422"/>
      <c r="N481" s="422"/>
      <c r="O481" s="422"/>
      <c r="P481" s="422"/>
      <c r="Q481" s="29"/>
      <c r="R481" s="24"/>
      <c r="U481" s="29"/>
      <c r="V481" s="29"/>
    </row>
    <row r="482" spans="1:22" x14ac:dyDescent="0.2">
      <c r="A482" s="2"/>
      <c r="B482" s="21"/>
      <c r="E482" s="422"/>
      <c r="F482" s="422"/>
      <c r="G482" s="422"/>
      <c r="H482" s="422"/>
      <c r="I482" s="422"/>
      <c r="J482" s="422"/>
      <c r="K482" s="422"/>
      <c r="L482" s="422"/>
      <c r="M482" s="422"/>
      <c r="N482" s="422"/>
      <c r="O482" s="422"/>
      <c r="P482" s="422"/>
      <c r="Q482" s="29"/>
      <c r="R482" s="24"/>
      <c r="U482" s="29"/>
      <c r="V482" s="29"/>
    </row>
    <row r="483" spans="1:22" x14ac:dyDescent="0.2">
      <c r="A483" s="2"/>
      <c r="B483" s="21"/>
      <c r="E483" s="422"/>
      <c r="F483" s="422"/>
      <c r="G483" s="422"/>
      <c r="H483" s="422"/>
      <c r="I483" s="422"/>
      <c r="J483" s="422"/>
      <c r="K483" s="422"/>
      <c r="L483" s="422"/>
      <c r="M483" s="422"/>
      <c r="N483" s="422"/>
      <c r="O483" s="422"/>
      <c r="P483" s="422"/>
      <c r="Q483" s="29"/>
      <c r="R483" s="24"/>
      <c r="U483" s="29"/>
      <c r="V483" s="29"/>
    </row>
    <row r="484" spans="1:22" x14ac:dyDescent="0.2">
      <c r="A484" s="2"/>
      <c r="B484" s="21"/>
      <c r="E484" s="422"/>
      <c r="F484" s="422"/>
      <c r="G484" s="422"/>
      <c r="H484" s="422"/>
      <c r="I484" s="422"/>
      <c r="J484" s="422"/>
      <c r="K484" s="422"/>
      <c r="L484" s="422"/>
      <c r="M484" s="422"/>
      <c r="N484" s="422"/>
      <c r="O484" s="422"/>
      <c r="P484" s="422"/>
      <c r="Q484" s="29"/>
      <c r="R484" s="24"/>
      <c r="U484" s="29"/>
      <c r="V484" s="29"/>
    </row>
    <row r="485" spans="1:22" x14ac:dyDescent="0.2">
      <c r="A485" s="2"/>
      <c r="B485" s="21"/>
      <c r="E485" s="422"/>
      <c r="F485" s="422"/>
      <c r="G485" s="422"/>
      <c r="H485" s="422"/>
      <c r="I485" s="422"/>
      <c r="J485" s="422"/>
      <c r="K485" s="422"/>
      <c r="L485" s="422"/>
      <c r="M485" s="422"/>
      <c r="N485" s="422"/>
      <c r="O485" s="422"/>
      <c r="P485" s="422"/>
      <c r="Q485" s="29"/>
      <c r="R485" s="24"/>
      <c r="U485" s="29"/>
      <c r="V485" s="29"/>
    </row>
    <row r="486" spans="1:22" x14ac:dyDescent="0.2">
      <c r="A486" s="2"/>
      <c r="B486" s="21"/>
      <c r="E486" s="422"/>
      <c r="F486" s="422"/>
      <c r="G486" s="422"/>
      <c r="H486" s="422"/>
      <c r="I486" s="422"/>
      <c r="J486" s="422"/>
      <c r="K486" s="422"/>
      <c r="L486" s="422"/>
      <c r="M486" s="422"/>
      <c r="N486" s="422"/>
      <c r="O486" s="422"/>
      <c r="P486" s="422"/>
      <c r="Q486" s="29"/>
      <c r="R486" s="24"/>
      <c r="U486" s="29"/>
      <c r="V486" s="29"/>
    </row>
    <row r="487" spans="1:22" x14ac:dyDescent="0.2">
      <c r="A487" s="2"/>
      <c r="B487" s="21"/>
      <c r="E487" s="422"/>
      <c r="F487" s="422"/>
      <c r="G487" s="422"/>
      <c r="H487" s="422"/>
      <c r="I487" s="422"/>
      <c r="J487" s="422"/>
      <c r="K487" s="422"/>
      <c r="L487" s="422"/>
      <c r="M487" s="422"/>
      <c r="N487" s="422"/>
      <c r="O487" s="422"/>
      <c r="P487" s="422"/>
      <c r="Q487" s="29"/>
      <c r="R487" s="24"/>
      <c r="U487" s="29"/>
      <c r="V487" s="29"/>
    </row>
    <row r="488" spans="1:22" x14ac:dyDescent="0.2">
      <c r="A488" s="2"/>
      <c r="B488" s="21"/>
      <c r="E488" s="422"/>
      <c r="F488" s="422"/>
      <c r="G488" s="422"/>
      <c r="H488" s="422"/>
      <c r="I488" s="422"/>
      <c r="J488" s="422"/>
      <c r="K488" s="422"/>
      <c r="L488" s="422"/>
      <c r="M488" s="422"/>
      <c r="N488" s="422"/>
      <c r="O488" s="422"/>
      <c r="P488" s="422"/>
      <c r="Q488" s="29"/>
      <c r="R488" s="24"/>
      <c r="U488" s="29"/>
      <c r="V488" s="29"/>
    </row>
    <row r="489" spans="1:22" x14ac:dyDescent="0.2">
      <c r="A489" s="2"/>
      <c r="B489" s="21"/>
      <c r="E489" s="422"/>
      <c r="F489" s="422"/>
      <c r="G489" s="422"/>
      <c r="H489" s="422"/>
      <c r="I489" s="422"/>
      <c r="J489" s="422"/>
      <c r="K489" s="422"/>
      <c r="L489" s="422"/>
      <c r="M489" s="422"/>
      <c r="N489" s="422"/>
      <c r="O489" s="422"/>
      <c r="P489" s="422"/>
      <c r="Q489" s="29"/>
      <c r="R489" s="24"/>
      <c r="U489" s="29"/>
      <c r="V489" s="29"/>
    </row>
    <row r="490" spans="1:22" x14ac:dyDescent="0.2">
      <c r="A490" s="2"/>
      <c r="B490" s="21"/>
    </row>
    <row r="491" spans="1:22" x14ac:dyDescent="0.2">
      <c r="A491" s="2"/>
      <c r="B491" s="21"/>
    </row>
    <row r="492" spans="1:22" x14ac:dyDescent="0.2">
      <c r="A492" s="2"/>
      <c r="B492" s="21"/>
    </row>
    <row r="493" spans="1:22" x14ac:dyDescent="0.2">
      <c r="A493" s="2"/>
      <c r="B493" s="21"/>
    </row>
    <row r="494" spans="1:22" x14ac:dyDescent="0.2">
      <c r="A494" s="2"/>
      <c r="B494" s="21"/>
    </row>
    <row r="495" spans="1:22" x14ac:dyDescent="0.2">
      <c r="A495" s="2"/>
      <c r="B495" s="21"/>
    </row>
    <row r="496" spans="1:22" x14ac:dyDescent="0.2">
      <c r="A496" s="2"/>
      <c r="B496" s="21"/>
    </row>
    <row r="497" spans="1:2" x14ac:dyDescent="0.2">
      <c r="A497" s="2"/>
      <c r="B497" s="21"/>
    </row>
    <row r="498" spans="1:2" x14ac:dyDescent="0.2">
      <c r="A498" s="2"/>
      <c r="B498" s="21"/>
    </row>
    <row r="499" spans="1:2" x14ac:dyDescent="0.2">
      <c r="A499" s="2"/>
      <c r="B499" s="21"/>
    </row>
    <row r="500" spans="1:2" x14ac:dyDescent="0.2">
      <c r="A500" s="2"/>
      <c r="B500" s="21"/>
    </row>
    <row r="501" spans="1:2" x14ac:dyDescent="0.2">
      <c r="A501" s="2"/>
      <c r="B501" s="21"/>
    </row>
    <row r="502" spans="1:2" x14ac:dyDescent="0.2">
      <c r="A502" s="2"/>
      <c r="B502" s="21"/>
    </row>
    <row r="503" spans="1:2" x14ac:dyDescent="0.2">
      <c r="A503" s="2"/>
      <c r="B503" s="21"/>
    </row>
    <row r="504" spans="1:2" x14ac:dyDescent="0.2">
      <c r="A504" s="2"/>
      <c r="B504" s="21"/>
    </row>
    <row r="505" spans="1:2" x14ac:dyDescent="0.2">
      <c r="A505" s="2"/>
      <c r="B505" s="21"/>
    </row>
    <row r="506" spans="1:2" x14ac:dyDescent="0.2">
      <c r="A506" s="2"/>
      <c r="B506" s="21"/>
    </row>
    <row r="507" spans="1:2" x14ac:dyDescent="0.2">
      <c r="A507" s="2"/>
      <c r="B507" s="21"/>
    </row>
    <row r="508" spans="1:2" x14ac:dyDescent="0.2">
      <c r="A508" s="2"/>
      <c r="B508" s="21"/>
    </row>
    <row r="509" spans="1:2" x14ac:dyDescent="0.2">
      <c r="A509" s="2"/>
      <c r="B509" s="21"/>
    </row>
    <row r="510" spans="1:2" x14ac:dyDescent="0.2">
      <c r="A510" s="2"/>
      <c r="B510" s="21"/>
    </row>
    <row r="511" spans="1:2" x14ac:dyDescent="0.2">
      <c r="A511" s="2"/>
      <c r="B511" s="21"/>
    </row>
    <row r="512" spans="1:2" x14ac:dyDescent="0.2">
      <c r="A512" s="2"/>
      <c r="B512" s="21"/>
    </row>
    <row r="513" spans="1:2" x14ac:dyDescent="0.2">
      <c r="A513" s="2"/>
      <c r="B513" s="21"/>
    </row>
    <row r="514" spans="1:2" x14ac:dyDescent="0.2">
      <c r="A514" s="2"/>
      <c r="B514" s="21"/>
    </row>
    <row r="515" spans="1:2" x14ac:dyDescent="0.2">
      <c r="A515" s="2"/>
      <c r="B515" s="21"/>
    </row>
    <row r="516" spans="1:2" x14ac:dyDescent="0.2">
      <c r="A516" s="2"/>
      <c r="B516" s="21"/>
    </row>
    <row r="517" spans="1:2" x14ac:dyDescent="0.2">
      <c r="A517" s="2"/>
      <c r="B517" s="21"/>
    </row>
    <row r="518" spans="1:2" x14ac:dyDescent="0.2">
      <c r="A518" s="2"/>
      <c r="B518" s="21"/>
    </row>
    <row r="519" spans="1:2" x14ac:dyDescent="0.2">
      <c r="A519" s="2"/>
      <c r="B519" s="21"/>
    </row>
    <row r="520" spans="1:2" x14ac:dyDescent="0.2">
      <c r="A520" s="2"/>
      <c r="B520" s="21"/>
    </row>
    <row r="521" spans="1:2" x14ac:dyDescent="0.2">
      <c r="A521" s="2"/>
      <c r="B521" s="21"/>
    </row>
    <row r="522" spans="1:2" x14ac:dyDescent="0.2">
      <c r="A522" s="2"/>
      <c r="B522" s="21"/>
    </row>
    <row r="523" spans="1:2" x14ac:dyDescent="0.2">
      <c r="A523" s="2"/>
      <c r="B523" s="21"/>
    </row>
    <row r="524" spans="1:2" x14ac:dyDescent="0.2">
      <c r="A524" s="2"/>
      <c r="B524" s="21"/>
    </row>
  </sheetData>
  <mergeCells count="315">
    <mergeCell ref="V134:V137"/>
    <mergeCell ref="V144:V147"/>
    <mergeCell ref="A118:A129"/>
    <mergeCell ref="E50:P50"/>
    <mergeCell ref="E80:J80"/>
    <mergeCell ref="K80:P80"/>
    <mergeCell ref="E68:G68"/>
    <mergeCell ref="D83:D85"/>
    <mergeCell ref="K88:P88"/>
    <mergeCell ref="E75:J75"/>
    <mergeCell ref="E77:J77"/>
    <mergeCell ref="E89:G89"/>
    <mergeCell ref="K73:P73"/>
    <mergeCell ref="E73:J73"/>
    <mergeCell ref="K72:P72"/>
    <mergeCell ref="E72:J72"/>
    <mergeCell ref="K71:P71"/>
    <mergeCell ref="E71:J71"/>
    <mergeCell ref="A56:A69"/>
    <mergeCell ref="B69:D69"/>
    <mergeCell ref="A42:A54"/>
    <mergeCell ref="K44:P44"/>
    <mergeCell ref="E45:J45"/>
    <mergeCell ref="K45:P45"/>
    <mergeCell ref="K46:P46"/>
    <mergeCell ref="E54:G54"/>
    <mergeCell ref="H54:J54"/>
    <mergeCell ref="K54:M54"/>
    <mergeCell ref="N54:P54"/>
    <mergeCell ref="E61:J61"/>
    <mergeCell ref="K61:P61"/>
    <mergeCell ref="H68:J68"/>
    <mergeCell ref="K68:M68"/>
    <mergeCell ref="N68:P68"/>
    <mergeCell ref="E55:J55"/>
    <mergeCell ref="K55:P55"/>
    <mergeCell ref="E65:P65"/>
    <mergeCell ref="E66:J66"/>
    <mergeCell ref="K66:P66"/>
    <mergeCell ref="E59:J59"/>
    <mergeCell ref="K59:P59"/>
    <mergeCell ref="E57:J57"/>
    <mergeCell ref="K57:P57"/>
    <mergeCell ref="E53:P53"/>
    <mergeCell ref="E145:J145"/>
    <mergeCell ref="E146:J146"/>
    <mergeCell ref="E147:J147"/>
    <mergeCell ref="K132:P132"/>
    <mergeCell ref="E91:P91"/>
    <mergeCell ref="K90:P90"/>
    <mergeCell ref="K116:P116"/>
    <mergeCell ref="E132:J132"/>
    <mergeCell ref="A134:A147"/>
    <mergeCell ref="B140:B143"/>
    <mergeCell ref="B134:B137"/>
    <mergeCell ref="D134:D137"/>
    <mergeCell ref="E104:J104"/>
    <mergeCell ref="E114:J114"/>
    <mergeCell ref="K117:P117"/>
    <mergeCell ref="E117:J117"/>
    <mergeCell ref="K109:P109"/>
    <mergeCell ref="K107:P107"/>
    <mergeCell ref="C110:C111"/>
    <mergeCell ref="E144:J144"/>
    <mergeCell ref="A102:A105"/>
    <mergeCell ref="E102:J102"/>
    <mergeCell ref="E120:J120"/>
    <mergeCell ref="K120:P120"/>
    <mergeCell ref="Q168:Q169"/>
    <mergeCell ref="B131:B132"/>
    <mergeCell ref="C131:C132"/>
    <mergeCell ref="E130:P130"/>
    <mergeCell ref="E138:P138"/>
    <mergeCell ref="E159:J159"/>
    <mergeCell ref="E168:P169"/>
    <mergeCell ref="K159:P159"/>
    <mergeCell ref="B168:B169"/>
    <mergeCell ref="E133:J133"/>
    <mergeCell ref="K133:P133"/>
    <mergeCell ref="E154:P154"/>
    <mergeCell ref="K144:P144"/>
    <mergeCell ref="K145:P145"/>
    <mergeCell ref="K146:P146"/>
    <mergeCell ref="K147:P147"/>
    <mergeCell ref="E153:P153"/>
    <mergeCell ref="E140:J140"/>
    <mergeCell ref="K140:P140"/>
    <mergeCell ref="E149:J149"/>
    <mergeCell ref="K149:P149"/>
    <mergeCell ref="E162:P162"/>
    <mergeCell ref="E164:J164"/>
    <mergeCell ref="K164:P164"/>
    <mergeCell ref="A168:A169"/>
    <mergeCell ref="D168:D169"/>
    <mergeCell ref="E165:J165"/>
    <mergeCell ref="K165:P165"/>
    <mergeCell ref="E135:J135"/>
    <mergeCell ref="K135:P135"/>
    <mergeCell ref="E136:J136"/>
    <mergeCell ref="K136:P136"/>
    <mergeCell ref="E137:J137"/>
    <mergeCell ref="K137:P137"/>
    <mergeCell ref="E141:J141"/>
    <mergeCell ref="K141:P141"/>
    <mergeCell ref="E142:J142"/>
    <mergeCell ref="K142:P142"/>
    <mergeCell ref="E143:J143"/>
    <mergeCell ref="K143:P143"/>
    <mergeCell ref="A148:A149"/>
    <mergeCell ref="D140:D143"/>
    <mergeCell ref="B144:B147"/>
    <mergeCell ref="D144:D147"/>
    <mergeCell ref="A159:A167"/>
    <mergeCell ref="E166:J166"/>
    <mergeCell ref="K166:P166"/>
    <mergeCell ref="E148:P148"/>
    <mergeCell ref="E83:J83"/>
    <mergeCell ref="D77:D81"/>
    <mergeCell ref="E76:P76"/>
    <mergeCell ref="K105:P105"/>
    <mergeCell ref="K104:P104"/>
    <mergeCell ref="E78:J78"/>
    <mergeCell ref="E74:J74"/>
    <mergeCell ref="K78:P78"/>
    <mergeCell ref="E64:P64"/>
    <mergeCell ref="E67:P67"/>
    <mergeCell ref="H87:J87"/>
    <mergeCell ref="K87:M87"/>
    <mergeCell ref="N87:P87"/>
    <mergeCell ref="E88:J88"/>
    <mergeCell ref="K102:P102"/>
    <mergeCell ref="E103:J103"/>
    <mergeCell ref="K81:P81"/>
    <mergeCell ref="K83:P83"/>
    <mergeCell ref="K84:P84"/>
    <mergeCell ref="K75:P75"/>
    <mergeCell ref="K96:P96"/>
    <mergeCell ref="E98:J98"/>
    <mergeCell ref="K74:P74"/>
    <mergeCell ref="E92:J92"/>
    <mergeCell ref="U2:U6"/>
    <mergeCell ref="V2:V6"/>
    <mergeCell ref="E3:P3"/>
    <mergeCell ref="E4:J4"/>
    <mergeCell ref="K4:P4"/>
    <mergeCell ref="E5:G5"/>
    <mergeCell ref="H5:J5"/>
    <mergeCell ref="K5:M5"/>
    <mergeCell ref="Q2:Q6"/>
    <mergeCell ref="R2:R6"/>
    <mergeCell ref="N5:P5"/>
    <mergeCell ref="S2:S6"/>
    <mergeCell ref="T2:T6"/>
    <mergeCell ref="E43:P43"/>
    <mergeCell ref="E39:J39"/>
    <mergeCell ref="K39:P39"/>
    <mergeCell ref="K15:P15"/>
    <mergeCell ref="K70:P70"/>
    <mergeCell ref="E70:J70"/>
    <mergeCell ref="E62:P62"/>
    <mergeCell ref="E63:P63"/>
    <mergeCell ref="E48:P48"/>
    <mergeCell ref="E49:P49"/>
    <mergeCell ref="E31:J31"/>
    <mergeCell ref="E35:P35"/>
    <mergeCell ref="E25:P25"/>
    <mergeCell ref="K29:P29"/>
    <mergeCell ref="E16:J16"/>
    <mergeCell ref="K16:P16"/>
    <mergeCell ref="E22:P22"/>
    <mergeCell ref="E23:P23"/>
    <mergeCell ref="E29:J29"/>
    <mergeCell ref="K34:P34"/>
    <mergeCell ref="E20:P20"/>
    <mergeCell ref="K30:P30"/>
    <mergeCell ref="E34:J34"/>
    <mergeCell ref="E19:J19"/>
    <mergeCell ref="K19:P19"/>
    <mergeCell ref="B18:D18"/>
    <mergeCell ref="E18:J18"/>
    <mergeCell ref="K18:P18"/>
    <mergeCell ref="B22:B23"/>
    <mergeCell ref="C22:C23"/>
    <mergeCell ref="E36:P36"/>
    <mergeCell ref="E24:J24"/>
    <mergeCell ref="K24:P24"/>
    <mergeCell ref="E32:J32"/>
    <mergeCell ref="K32:P32"/>
    <mergeCell ref="E33:J33"/>
    <mergeCell ref="K33:P33"/>
    <mergeCell ref="E28:J28"/>
    <mergeCell ref="K28:P28"/>
    <mergeCell ref="E30:J30"/>
    <mergeCell ref="K31:P31"/>
    <mergeCell ref="E21:P21"/>
    <mergeCell ref="K92:P92"/>
    <mergeCell ref="K118:P118"/>
    <mergeCell ref="E46:J46"/>
    <mergeCell ref="E38:J38"/>
    <mergeCell ref="K41:P41"/>
    <mergeCell ref="E44:J44"/>
    <mergeCell ref="K40:P40"/>
    <mergeCell ref="E42:P42"/>
    <mergeCell ref="E85:J85"/>
    <mergeCell ref="K85:P85"/>
    <mergeCell ref="E101:P101"/>
    <mergeCell ref="E90:J90"/>
    <mergeCell ref="K89:M89"/>
    <mergeCell ref="H89:J89"/>
    <mergeCell ref="K98:P98"/>
    <mergeCell ref="E100:J100"/>
    <mergeCell ref="K100:P100"/>
    <mergeCell ref="N89:P89"/>
    <mergeCell ref="E86:P86"/>
    <mergeCell ref="E87:G87"/>
    <mergeCell ref="E94:J94"/>
    <mergeCell ref="K94:P94"/>
    <mergeCell ref="E96:J96"/>
    <mergeCell ref="E52:P52"/>
    <mergeCell ref="E12:J12"/>
    <mergeCell ref="K12:P12"/>
    <mergeCell ref="E119:P119"/>
    <mergeCell ref="E118:J118"/>
    <mergeCell ref="E109:J109"/>
    <mergeCell ref="C108:C109"/>
    <mergeCell ref="E107:J107"/>
    <mergeCell ref="K103:P103"/>
    <mergeCell ref="E105:J105"/>
    <mergeCell ref="E113:J113"/>
    <mergeCell ref="K113:P113"/>
    <mergeCell ref="K114:P114"/>
    <mergeCell ref="E115:J115"/>
    <mergeCell ref="K115:P115"/>
    <mergeCell ref="E116:J116"/>
    <mergeCell ref="C112:C113"/>
    <mergeCell ref="E111:J111"/>
    <mergeCell ref="K111:P111"/>
    <mergeCell ref="K77:P77"/>
    <mergeCell ref="E79:J79"/>
    <mergeCell ref="K79:P79"/>
    <mergeCell ref="E81:J81"/>
    <mergeCell ref="E82:P82"/>
    <mergeCell ref="E84:J84"/>
    <mergeCell ref="A28:A41"/>
    <mergeCell ref="B110:B111"/>
    <mergeCell ref="B112:B113"/>
    <mergeCell ref="A2:A6"/>
    <mergeCell ref="B2:B6"/>
    <mergeCell ref="C2:C6"/>
    <mergeCell ref="E2:P2"/>
    <mergeCell ref="E15:J15"/>
    <mergeCell ref="A16:A17"/>
    <mergeCell ref="A7:A10"/>
    <mergeCell ref="E7:J7"/>
    <mergeCell ref="K7:P7"/>
    <mergeCell ref="E8:J8"/>
    <mergeCell ref="K8:P8"/>
    <mergeCell ref="E9:J9"/>
    <mergeCell ref="K9:P9"/>
    <mergeCell ref="E10:J10"/>
    <mergeCell ref="A11:A15"/>
    <mergeCell ref="E11:J11"/>
    <mergeCell ref="K11:P11"/>
    <mergeCell ref="E14:J14"/>
    <mergeCell ref="K14:P14"/>
    <mergeCell ref="K10:P10"/>
    <mergeCell ref="E51:P51"/>
    <mergeCell ref="K157:P157"/>
    <mergeCell ref="A153:A158"/>
    <mergeCell ref="E13:J13"/>
    <mergeCell ref="K13:P13"/>
    <mergeCell ref="A74:A101"/>
    <mergeCell ref="Y138:Z138"/>
    <mergeCell ref="AB138:AC138"/>
    <mergeCell ref="X138:X139"/>
    <mergeCell ref="E134:J134"/>
    <mergeCell ref="K134:P134"/>
    <mergeCell ref="A130:A133"/>
    <mergeCell ref="E139:P139"/>
    <mergeCell ref="W130:W133"/>
    <mergeCell ref="B108:B109"/>
    <mergeCell ref="A106:A113"/>
    <mergeCell ref="A114:A117"/>
    <mergeCell ref="A19:A27"/>
    <mergeCell ref="E27:J27"/>
    <mergeCell ref="K27:P27"/>
    <mergeCell ref="E26:P26"/>
    <mergeCell ref="E37:J37"/>
    <mergeCell ref="K37:P37"/>
    <mergeCell ref="E41:J41"/>
    <mergeCell ref="K38:P38"/>
    <mergeCell ref="E158:J158"/>
    <mergeCell ref="K158:P158"/>
    <mergeCell ref="E69:J69"/>
    <mergeCell ref="K69:P69"/>
    <mergeCell ref="A70:A73"/>
    <mergeCell ref="E40:J40"/>
    <mergeCell ref="V168:V169"/>
    <mergeCell ref="E167:J167"/>
    <mergeCell ref="K167:P167"/>
    <mergeCell ref="B106:B107"/>
    <mergeCell ref="C106:C107"/>
    <mergeCell ref="E163:J163"/>
    <mergeCell ref="K163:P163"/>
    <mergeCell ref="E160:J160"/>
    <mergeCell ref="K160:P160"/>
    <mergeCell ref="E161:J161"/>
    <mergeCell ref="K161:P161"/>
    <mergeCell ref="E150:P150"/>
    <mergeCell ref="E152:P152"/>
    <mergeCell ref="E155:J155"/>
    <mergeCell ref="K155:P155"/>
    <mergeCell ref="E156:J156"/>
    <mergeCell ref="K156:P156"/>
    <mergeCell ref="E157:J157"/>
  </mergeCells>
  <dataValidations disablePrompts="1" count="1">
    <dataValidation type="list" allowBlank="1" showInputMessage="1" showErrorMessage="1" sqref="R65538:R65690 JN65538:JN65690 TJ65538:TJ65690 ADF65538:ADF65690 ANB65538:ANB65690 AWX65538:AWX65690 BGT65538:BGT65690 BQP65538:BQP65690 CAL65538:CAL65690 CKH65538:CKH65690 CUD65538:CUD65690 DDZ65538:DDZ65690 DNV65538:DNV65690 DXR65538:DXR65690 EHN65538:EHN65690 ERJ65538:ERJ65690 FBF65538:FBF65690 FLB65538:FLB65690 FUX65538:FUX65690 GET65538:GET65690 GOP65538:GOP65690 GYL65538:GYL65690 HIH65538:HIH65690 HSD65538:HSD65690 IBZ65538:IBZ65690 ILV65538:ILV65690 IVR65538:IVR65690 JFN65538:JFN65690 JPJ65538:JPJ65690 JZF65538:JZF65690 KJB65538:KJB65690 KSX65538:KSX65690 LCT65538:LCT65690 LMP65538:LMP65690 LWL65538:LWL65690 MGH65538:MGH65690 MQD65538:MQD65690 MZZ65538:MZZ65690 NJV65538:NJV65690 NTR65538:NTR65690 ODN65538:ODN65690 ONJ65538:ONJ65690 OXF65538:OXF65690 PHB65538:PHB65690 PQX65538:PQX65690 QAT65538:QAT65690 QKP65538:QKP65690 QUL65538:QUL65690 REH65538:REH65690 ROD65538:ROD65690 RXZ65538:RXZ65690 SHV65538:SHV65690 SRR65538:SRR65690 TBN65538:TBN65690 TLJ65538:TLJ65690 TVF65538:TVF65690 UFB65538:UFB65690 UOX65538:UOX65690 UYT65538:UYT65690 VIP65538:VIP65690 VSL65538:VSL65690 WCH65538:WCH65690 WMD65538:WMD65690 WVZ65538:WVZ65690 R131074:R131226 JN131074:JN131226 TJ131074:TJ131226 ADF131074:ADF131226 ANB131074:ANB131226 AWX131074:AWX131226 BGT131074:BGT131226 BQP131074:BQP131226 CAL131074:CAL131226 CKH131074:CKH131226 CUD131074:CUD131226 DDZ131074:DDZ131226 DNV131074:DNV131226 DXR131074:DXR131226 EHN131074:EHN131226 ERJ131074:ERJ131226 FBF131074:FBF131226 FLB131074:FLB131226 FUX131074:FUX131226 GET131074:GET131226 GOP131074:GOP131226 GYL131074:GYL131226 HIH131074:HIH131226 HSD131074:HSD131226 IBZ131074:IBZ131226 ILV131074:ILV131226 IVR131074:IVR131226 JFN131074:JFN131226 JPJ131074:JPJ131226 JZF131074:JZF131226 KJB131074:KJB131226 KSX131074:KSX131226 LCT131074:LCT131226 LMP131074:LMP131226 LWL131074:LWL131226 MGH131074:MGH131226 MQD131074:MQD131226 MZZ131074:MZZ131226 NJV131074:NJV131226 NTR131074:NTR131226 ODN131074:ODN131226 ONJ131074:ONJ131226 OXF131074:OXF131226 PHB131074:PHB131226 PQX131074:PQX131226 QAT131074:QAT131226 QKP131074:QKP131226 QUL131074:QUL131226 REH131074:REH131226 ROD131074:ROD131226 RXZ131074:RXZ131226 SHV131074:SHV131226 SRR131074:SRR131226 TBN131074:TBN131226 TLJ131074:TLJ131226 TVF131074:TVF131226 UFB131074:UFB131226 UOX131074:UOX131226 UYT131074:UYT131226 VIP131074:VIP131226 VSL131074:VSL131226 WCH131074:WCH131226 WMD131074:WMD131226 WVZ131074:WVZ131226 R196610:R196762 JN196610:JN196762 TJ196610:TJ196762 ADF196610:ADF196762 ANB196610:ANB196762 AWX196610:AWX196762 BGT196610:BGT196762 BQP196610:BQP196762 CAL196610:CAL196762 CKH196610:CKH196762 CUD196610:CUD196762 DDZ196610:DDZ196762 DNV196610:DNV196762 DXR196610:DXR196762 EHN196610:EHN196762 ERJ196610:ERJ196762 FBF196610:FBF196762 FLB196610:FLB196762 FUX196610:FUX196762 GET196610:GET196762 GOP196610:GOP196762 GYL196610:GYL196762 HIH196610:HIH196762 HSD196610:HSD196762 IBZ196610:IBZ196762 ILV196610:ILV196762 IVR196610:IVR196762 JFN196610:JFN196762 JPJ196610:JPJ196762 JZF196610:JZF196762 KJB196610:KJB196762 KSX196610:KSX196762 LCT196610:LCT196762 LMP196610:LMP196762 LWL196610:LWL196762 MGH196610:MGH196762 MQD196610:MQD196762 MZZ196610:MZZ196762 NJV196610:NJV196762 NTR196610:NTR196762 ODN196610:ODN196762 ONJ196610:ONJ196762 OXF196610:OXF196762 PHB196610:PHB196762 PQX196610:PQX196762 QAT196610:QAT196762 QKP196610:QKP196762 QUL196610:QUL196762 REH196610:REH196762 ROD196610:ROD196762 RXZ196610:RXZ196762 SHV196610:SHV196762 SRR196610:SRR196762 TBN196610:TBN196762 TLJ196610:TLJ196762 TVF196610:TVF196762 UFB196610:UFB196762 UOX196610:UOX196762 UYT196610:UYT196762 VIP196610:VIP196762 VSL196610:VSL196762 WCH196610:WCH196762 WMD196610:WMD196762 WVZ196610:WVZ196762 R262146:R262298 JN262146:JN262298 TJ262146:TJ262298 ADF262146:ADF262298 ANB262146:ANB262298 AWX262146:AWX262298 BGT262146:BGT262298 BQP262146:BQP262298 CAL262146:CAL262298 CKH262146:CKH262298 CUD262146:CUD262298 DDZ262146:DDZ262298 DNV262146:DNV262298 DXR262146:DXR262298 EHN262146:EHN262298 ERJ262146:ERJ262298 FBF262146:FBF262298 FLB262146:FLB262298 FUX262146:FUX262298 GET262146:GET262298 GOP262146:GOP262298 GYL262146:GYL262298 HIH262146:HIH262298 HSD262146:HSD262298 IBZ262146:IBZ262298 ILV262146:ILV262298 IVR262146:IVR262298 JFN262146:JFN262298 JPJ262146:JPJ262298 JZF262146:JZF262298 KJB262146:KJB262298 KSX262146:KSX262298 LCT262146:LCT262298 LMP262146:LMP262298 LWL262146:LWL262298 MGH262146:MGH262298 MQD262146:MQD262298 MZZ262146:MZZ262298 NJV262146:NJV262298 NTR262146:NTR262298 ODN262146:ODN262298 ONJ262146:ONJ262298 OXF262146:OXF262298 PHB262146:PHB262298 PQX262146:PQX262298 QAT262146:QAT262298 QKP262146:QKP262298 QUL262146:QUL262298 REH262146:REH262298 ROD262146:ROD262298 RXZ262146:RXZ262298 SHV262146:SHV262298 SRR262146:SRR262298 TBN262146:TBN262298 TLJ262146:TLJ262298 TVF262146:TVF262298 UFB262146:UFB262298 UOX262146:UOX262298 UYT262146:UYT262298 VIP262146:VIP262298 VSL262146:VSL262298 WCH262146:WCH262298 WMD262146:WMD262298 WVZ262146:WVZ262298 R327682:R327834 JN327682:JN327834 TJ327682:TJ327834 ADF327682:ADF327834 ANB327682:ANB327834 AWX327682:AWX327834 BGT327682:BGT327834 BQP327682:BQP327834 CAL327682:CAL327834 CKH327682:CKH327834 CUD327682:CUD327834 DDZ327682:DDZ327834 DNV327682:DNV327834 DXR327682:DXR327834 EHN327682:EHN327834 ERJ327682:ERJ327834 FBF327682:FBF327834 FLB327682:FLB327834 FUX327682:FUX327834 GET327682:GET327834 GOP327682:GOP327834 GYL327682:GYL327834 HIH327682:HIH327834 HSD327682:HSD327834 IBZ327682:IBZ327834 ILV327682:ILV327834 IVR327682:IVR327834 JFN327682:JFN327834 JPJ327682:JPJ327834 JZF327682:JZF327834 KJB327682:KJB327834 KSX327682:KSX327834 LCT327682:LCT327834 LMP327682:LMP327834 LWL327682:LWL327834 MGH327682:MGH327834 MQD327682:MQD327834 MZZ327682:MZZ327834 NJV327682:NJV327834 NTR327682:NTR327834 ODN327682:ODN327834 ONJ327682:ONJ327834 OXF327682:OXF327834 PHB327682:PHB327834 PQX327682:PQX327834 QAT327682:QAT327834 QKP327682:QKP327834 QUL327682:QUL327834 REH327682:REH327834 ROD327682:ROD327834 RXZ327682:RXZ327834 SHV327682:SHV327834 SRR327682:SRR327834 TBN327682:TBN327834 TLJ327682:TLJ327834 TVF327682:TVF327834 UFB327682:UFB327834 UOX327682:UOX327834 UYT327682:UYT327834 VIP327682:VIP327834 VSL327682:VSL327834 WCH327682:WCH327834 WMD327682:WMD327834 WVZ327682:WVZ327834 R393218:R393370 JN393218:JN393370 TJ393218:TJ393370 ADF393218:ADF393370 ANB393218:ANB393370 AWX393218:AWX393370 BGT393218:BGT393370 BQP393218:BQP393370 CAL393218:CAL393370 CKH393218:CKH393370 CUD393218:CUD393370 DDZ393218:DDZ393370 DNV393218:DNV393370 DXR393218:DXR393370 EHN393218:EHN393370 ERJ393218:ERJ393370 FBF393218:FBF393370 FLB393218:FLB393370 FUX393218:FUX393370 GET393218:GET393370 GOP393218:GOP393370 GYL393218:GYL393370 HIH393218:HIH393370 HSD393218:HSD393370 IBZ393218:IBZ393370 ILV393218:ILV393370 IVR393218:IVR393370 JFN393218:JFN393370 JPJ393218:JPJ393370 JZF393218:JZF393370 KJB393218:KJB393370 KSX393218:KSX393370 LCT393218:LCT393370 LMP393218:LMP393370 LWL393218:LWL393370 MGH393218:MGH393370 MQD393218:MQD393370 MZZ393218:MZZ393370 NJV393218:NJV393370 NTR393218:NTR393370 ODN393218:ODN393370 ONJ393218:ONJ393370 OXF393218:OXF393370 PHB393218:PHB393370 PQX393218:PQX393370 QAT393218:QAT393370 QKP393218:QKP393370 QUL393218:QUL393370 REH393218:REH393370 ROD393218:ROD393370 RXZ393218:RXZ393370 SHV393218:SHV393370 SRR393218:SRR393370 TBN393218:TBN393370 TLJ393218:TLJ393370 TVF393218:TVF393370 UFB393218:UFB393370 UOX393218:UOX393370 UYT393218:UYT393370 VIP393218:VIP393370 VSL393218:VSL393370 WCH393218:WCH393370 WMD393218:WMD393370 WVZ393218:WVZ393370 R458754:R458906 JN458754:JN458906 TJ458754:TJ458906 ADF458754:ADF458906 ANB458754:ANB458906 AWX458754:AWX458906 BGT458754:BGT458906 BQP458754:BQP458906 CAL458754:CAL458906 CKH458754:CKH458906 CUD458754:CUD458906 DDZ458754:DDZ458906 DNV458754:DNV458906 DXR458754:DXR458906 EHN458754:EHN458906 ERJ458754:ERJ458906 FBF458754:FBF458906 FLB458754:FLB458906 FUX458754:FUX458906 GET458754:GET458906 GOP458754:GOP458906 GYL458754:GYL458906 HIH458754:HIH458906 HSD458754:HSD458906 IBZ458754:IBZ458906 ILV458754:ILV458906 IVR458754:IVR458906 JFN458754:JFN458906 JPJ458754:JPJ458906 JZF458754:JZF458906 KJB458754:KJB458906 KSX458754:KSX458906 LCT458754:LCT458906 LMP458754:LMP458906 LWL458754:LWL458906 MGH458754:MGH458906 MQD458754:MQD458906 MZZ458754:MZZ458906 NJV458754:NJV458906 NTR458754:NTR458906 ODN458754:ODN458906 ONJ458754:ONJ458906 OXF458754:OXF458906 PHB458754:PHB458906 PQX458754:PQX458906 QAT458754:QAT458906 QKP458754:QKP458906 QUL458754:QUL458906 REH458754:REH458906 ROD458754:ROD458906 RXZ458754:RXZ458906 SHV458754:SHV458906 SRR458754:SRR458906 TBN458754:TBN458906 TLJ458754:TLJ458906 TVF458754:TVF458906 UFB458754:UFB458906 UOX458754:UOX458906 UYT458754:UYT458906 VIP458754:VIP458906 VSL458754:VSL458906 WCH458754:WCH458906 WMD458754:WMD458906 WVZ458754:WVZ458906 R524290:R524442 JN524290:JN524442 TJ524290:TJ524442 ADF524290:ADF524442 ANB524290:ANB524442 AWX524290:AWX524442 BGT524290:BGT524442 BQP524290:BQP524442 CAL524290:CAL524442 CKH524290:CKH524442 CUD524290:CUD524442 DDZ524290:DDZ524442 DNV524290:DNV524442 DXR524290:DXR524442 EHN524290:EHN524442 ERJ524290:ERJ524442 FBF524290:FBF524442 FLB524290:FLB524442 FUX524290:FUX524442 GET524290:GET524442 GOP524290:GOP524442 GYL524290:GYL524442 HIH524290:HIH524442 HSD524290:HSD524442 IBZ524290:IBZ524442 ILV524290:ILV524442 IVR524290:IVR524442 JFN524290:JFN524442 JPJ524290:JPJ524442 JZF524290:JZF524442 KJB524290:KJB524442 KSX524290:KSX524442 LCT524290:LCT524442 LMP524290:LMP524442 LWL524290:LWL524442 MGH524290:MGH524442 MQD524290:MQD524442 MZZ524290:MZZ524442 NJV524290:NJV524442 NTR524290:NTR524442 ODN524290:ODN524442 ONJ524290:ONJ524442 OXF524290:OXF524442 PHB524290:PHB524442 PQX524290:PQX524442 QAT524290:QAT524442 QKP524290:QKP524442 QUL524290:QUL524442 REH524290:REH524442 ROD524290:ROD524442 RXZ524290:RXZ524442 SHV524290:SHV524442 SRR524290:SRR524442 TBN524290:TBN524442 TLJ524290:TLJ524442 TVF524290:TVF524442 UFB524290:UFB524442 UOX524290:UOX524442 UYT524290:UYT524442 VIP524290:VIP524442 VSL524290:VSL524442 WCH524290:WCH524442 WMD524290:WMD524442 WVZ524290:WVZ524442 R589826:R589978 JN589826:JN589978 TJ589826:TJ589978 ADF589826:ADF589978 ANB589826:ANB589978 AWX589826:AWX589978 BGT589826:BGT589978 BQP589826:BQP589978 CAL589826:CAL589978 CKH589826:CKH589978 CUD589826:CUD589978 DDZ589826:DDZ589978 DNV589826:DNV589978 DXR589826:DXR589978 EHN589826:EHN589978 ERJ589826:ERJ589978 FBF589826:FBF589978 FLB589826:FLB589978 FUX589826:FUX589978 GET589826:GET589978 GOP589826:GOP589978 GYL589826:GYL589978 HIH589826:HIH589978 HSD589826:HSD589978 IBZ589826:IBZ589978 ILV589826:ILV589978 IVR589826:IVR589978 JFN589826:JFN589978 JPJ589826:JPJ589978 JZF589826:JZF589978 KJB589826:KJB589978 KSX589826:KSX589978 LCT589826:LCT589978 LMP589826:LMP589978 LWL589826:LWL589978 MGH589826:MGH589978 MQD589826:MQD589978 MZZ589826:MZZ589978 NJV589826:NJV589978 NTR589826:NTR589978 ODN589826:ODN589978 ONJ589826:ONJ589978 OXF589826:OXF589978 PHB589826:PHB589978 PQX589826:PQX589978 QAT589826:QAT589978 QKP589826:QKP589978 QUL589826:QUL589978 REH589826:REH589978 ROD589826:ROD589978 RXZ589826:RXZ589978 SHV589826:SHV589978 SRR589826:SRR589978 TBN589826:TBN589978 TLJ589826:TLJ589978 TVF589826:TVF589978 UFB589826:UFB589978 UOX589826:UOX589978 UYT589826:UYT589978 VIP589826:VIP589978 VSL589826:VSL589978 WCH589826:WCH589978 WMD589826:WMD589978 WVZ589826:WVZ589978 R655362:R655514 JN655362:JN655514 TJ655362:TJ655514 ADF655362:ADF655514 ANB655362:ANB655514 AWX655362:AWX655514 BGT655362:BGT655514 BQP655362:BQP655514 CAL655362:CAL655514 CKH655362:CKH655514 CUD655362:CUD655514 DDZ655362:DDZ655514 DNV655362:DNV655514 DXR655362:DXR655514 EHN655362:EHN655514 ERJ655362:ERJ655514 FBF655362:FBF655514 FLB655362:FLB655514 FUX655362:FUX655514 GET655362:GET655514 GOP655362:GOP655514 GYL655362:GYL655514 HIH655362:HIH655514 HSD655362:HSD655514 IBZ655362:IBZ655514 ILV655362:ILV655514 IVR655362:IVR655514 JFN655362:JFN655514 JPJ655362:JPJ655514 JZF655362:JZF655514 KJB655362:KJB655514 KSX655362:KSX655514 LCT655362:LCT655514 LMP655362:LMP655514 LWL655362:LWL655514 MGH655362:MGH655514 MQD655362:MQD655514 MZZ655362:MZZ655514 NJV655362:NJV655514 NTR655362:NTR655514 ODN655362:ODN655514 ONJ655362:ONJ655514 OXF655362:OXF655514 PHB655362:PHB655514 PQX655362:PQX655514 QAT655362:QAT655514 QKP655362:QKP655514 QUL655362:QUL655514 REH655362:REH655514 ROD655362:ROD655514 RXZ655362:RXZ655514 SHV655362:SHV655514 SRR655362:SRR655514 TBN655362:TBN655514 TLJ655362:TLJ655514 TVF655362:TVF655514 UFB655362:UFB655514 UOX655362:UOX655514 UYT655362:UYT655514 VIP655362:VIP655514 VSL655362:VSL655514 WCH655362:WCH655514 WMD655362:WMD655514 WVZ655362:WVZ655514 R720898:R721050 JN720898:JN721050 TJ720898:TJ721050 ADF720898:ADF721050 ANB720898:ANB721050 AWX720898:AWX721050 BGT720898:BGT721050 BQP720898:BQP721050 CAL720898:CAL721050 CKH720898:CKH721050 CUD720898:CUD721050 DDZ720898:DDZ721050 DNV720898:DNV721050 DXR720898:DXR721050 EHN720898:EHN721050 ERJ720898:ERJ721050 FBF720898:FBF721050 FLB720898:FLB721050 FUX720898:FUX721050 GET720898:GET721050 GOP720898:GOP721050 GYL720898:GYL721050 HIH720898:HIH721050 HSD720898:HSD721050 IBZ720898:IBZ721050 ILV720898:ILV721050 IVR720898:IVR721050 JFN720898:JFN721050 JPJ720898:JPJ721050 JZF720898:JZF721050 KJB720898:KJB721050 KSX720898:KSX721050 LCT720898:LCT721050 LMP720898:LMP721050 LWL720898:LWL721050 MGH720898:MGH721050 MQD720898:MQD721050 MZZ720898:MZZ721050 NJV720898:NJV721050 NTR720898:NTR721050 ODN720898:ODN721050 ONJ720898:ONJ721050 OXF720898:OXF721050 PHB720898:PHB721050 PQX720898:PQX721050 QAT720898:QAT721050 QKP720898:QKP721050 QUL720898:QUL721050 REH720898:REH721050 ROD720898:ROD721050 RXZ720898:RXZ721050 SHV720898:SHV721050 SRR720898:SRR721050 TBN720898:TBN721050 TLJ720898:TLJ721050 TVF720898:TVF721050 UFB720898:UFB721050 UOX720898:UOX721050 UYT720898:UYT721050 VIP720898:VIP721050 VSL720898:VSL721050 WCH720898:WCH721050 WMD720898:WMD721050 WVZ720898:WVZ721050 R786434:R786586 JN786434:JN786586 TJ786434:TJ786586 ADF786434:ADF786586 ANB786434:ANB786586 AWX786434:AWX786586 BGT786434:BGT786586 BQP786434:BQP786586 CAL786434:CAL786586 CKH786434:CKH786586 CUD786434:CUD786586 DDZ786434:DDZ786586 DNV786434:DNV786586 DXR786434:DXR786586 EHN786434:EHN786586 ERJ786434:ERJ786586 FBF786434:FBF786586 FLB786434:FLB786586 FUX786434:FUX786586 GET786434:GET786586 GOP786434:GOP786586 GYL786434:GYL786586 HIH786434:HIH786586 HSD786434:HSD786586 IBZ786434:IBZ786586 ILV786434:ILV786586 IVR786434:IVR786586 JFN786434:JFN786586 JPJ786434:JPJ786586 JZF786434:JZF786586 KJB786434:KJB786586 KSX786434:KSX786586 LCT786434:LCT786586 LMP786434:LMP786586 LWL786434:LWL786586 MGH786434:MGH786586 MQD786434:MQD786586 MZZ786434:MZZ786586 NJV786434:NJV786586 NTR786434:NTR786586 ODN786434:ODN786586 ONJ786434:ONJ786586 OXF786434:OXF786586 PHB786434:PHB786586 PQX786434:PQX786586 QAT786434:QAT786586 QKP786434:QKP786586 QUL786434:QUL786586 REH786434:REH786586 ROD786434:ROD786586 RXZ786434:RXZ786586 SHV786434:SHV786586 SRR786434:SRR786586 TBN786434:TBN786586 TLJ786434:TLJ786586 TVF786434:TVF786586 UFB786434:UFB786586 UOX786434:UOX786586 UYT786434:UYT786586 VIP786434:VIP786586 VSL786434:VSL786586 WCH786434:WCH786586 WMD786434:WMD786586 WVZ786434:WVZ786586 R851970:R852122 JN851970:JN852122 TJ851970:TJ852122 ADF851970:ADF852122 ANB851970:ANB852122 AWX851970:AWX852122 BGT851970:BGT852122 BQP851970:BQP852122 CAL851970:CAL852122 CKH851970:CKH852122 CUD851970:CUD852122 DDZ851970:DDZ852122 DNV851970:DNV852122 DXR851970:DXR852122 EHN851970:EHN852122 ERJ851970:ERJ852122 FBF851970:FBF852122 FLB851970:FLB852122 FUX851970:FUX852122 GET851970:GET852122 GOP851970:GOP852122 GYL851970:GYL852122 HIH851970:HIH852122 HSD851970:HSD852122 IBZ851970:IBZ852122 ILV851970:ILV852122 IVR851970:IVR852122 JFN851970:JFN852122 JPJ851970:JPJ852122 JZF851970:JZF852122 KJB851970:KJB852122 KSX851970:KSX852122 LCT851970:LCT852122 LMP851970:LMP852122 LWL851970:LWL852122 MGH851970:MGH852122 MQD851970:MQD852122 MZZ851970:MZZ852122 NJV851970:NJV852122 NTR851970:NTR852122 ODN851970:ODN852122 ONJ851970:ONJ852122 OXF851970:OXF852122 PHB851970:PHB852122 PQX851970:PQX852122 QAT851970:QAT852122 QKP851970:QKP852122 QUL851970:QUL852122 REH851970:REH852122 ROD851970:ROD852122 RXZ851970:RXZ852122 SHV851970:SHV852122 SRR851970:SRR852122 TBN851970:TBN852122 TLJ851970:TLJ852122 TVF851970:TVF852122 UFB851970:UFB852122 UOX851970:UOX852122 UYT851970:UYT852122 VIP851970:VIP852122 VSL851970:VSL852122 WCH851970:WCH852122 WMD851970:WMD852122 WVZ851970:WVZ852122 R917506:R917658 JN917506:JN917658 TJ917506:TJ917658 ADF917506:ADF917658 ANB917506:ANB917658 AWX917506:AWX917658 BGT917506:BGT917658 BQP917506:BQP917658 CAL917506:CAL917658 CKH917506:CKH917658 CUD917506:CUD917658 DDZ917506:DDZ917658 DNV917506:DNV917658 DXR917506:DXR917658 EHN917506:EHN917658 ERJ917506:ERJ917658 FBF917506:FBF917658 FLB917506:FLB917658 FUX917506:FUX917658 GET917506:GET917658 GOP917506:GOP917658 GYL917506:GYL917658 HIH917506:HIH917658 HSD917506:HSD917658 IBZ917506:IBZ917658 ILV917506:ILV917658 IVR917506:IVR917658 JFN917506:JFN917658 JPJ917506:JPJ917658 JZF917506:JZF917658 KJB917506:KJB917658 KSX917506:KSX917658 LCT917506:LCT917658 LMP917506:LMP917658 LWL917506:LWL917658 MGH917506:MGH917658 MQD917506:MQD917658 MZZ917506:MZZ917658 NJV917506:NJV917658 NTR917506:NTR917658 ODN917506:ODN917658 ONJ917506:ONJ917658 OXF917506:OXF917658 PHB917506:PHB917658 PQX917506:PQX917658 QAT917506:QAT917658 QKP917506:QKP917658 QUL917506:QUL917658 REH917506:REH917658 ROD917506:ROD917658 RXZ917506:RXZ917658 SHV917506:SHV917658 SRR917506:SRR917658 TBN917506:TBN917658 TLJ917506:TLJ917658 TVF917506:TVF917658 UFB917506:UFB917658 UOX917506:UOX917658 UYT917506:UYT917658 VIP917506:VIP917658 VSL917506:VSL917658 WCH917506:WCH917658 WMD917506:WMD917658 WVZ917506:WVZ917658 R983042:R983194 JN983042:JN983194 TJ983042:TJ983194 ADF983042:ADF983194 ANB983042:ANB983194 AWX983042:AWX983194 BGT983042:BGT983194 BQP983042:BQP983194 CAL983042:CAL983194 CKH983042:CKH983194 CUD983042:CUD983194 DDZ983042:DDZ983194 DNV983042:DNV983194 DXR983042:DXR983194 EHN983042:EHN983194 ERJ983042:ERJ983194 FBF983042:FBF983194 FLB983042:FLB983194 FUX983042:FUX983194 GET983042:GET983194 GOP983042:GOP983194 GYL983042:GYL983194 HIH983042:HIH983194 HSD983042:HSD983194 IBZ983042:IBZ983194 ILV983042:ILV983194 IVR983042:IVR983194 JFN983042:JFN983194 JPJ983042:JPJ983194 JZF983042:JZF983194 KJB983042:KJB983194 KSX983042:KSX983194 LCT983042:LCT983194 LMP983042:LMP983194 LWL983042:LWL983194 MGH983042:MGH983194 MQD983042:MQD983194 MZZ983042:MZZ983194 NJV983042:NJV983194 NTR983042:NTR983194 ODN983042:ODN983194 ONJ983042:ONJ983194 OXF983042:OXF983194 PHB983042:PHB983194 PQX983042:PQX983194 QAT983042:QAT983194 QKP983042:QKP983194 QUL983042:QUL983194 REH983042:REH983194 ROD983042:ROD983194 RXZ983042:RXZ983194 SHV983042:SHV983194 SRR983042:SRR983194 TBN983042:TBN983194 TLJ983042:TLJ983194 TVF983042:TVF983194 UFB983042:UFB983194 UOX983042:UOX983194 UYT983042:UYT983194 VIP983042:VIP983194 VSL983042:VSL983194 WCH983042:WCH983194 WMD983042:WMD983194 WVZ983042:WVZ983194 R134:R167 WVZ134:WVZ167 WMD134:WMD167 WCH134:WCH167 VSL134:VSL167 VIP134:VIP167 UYT134:UYT167 UOX134:UOX167 UFB134:UFB167 TVF134:TVF167 TLJ134:TLJ167 TBN134:TBN167 SRR134:SRR167 SHV134:SHV167 RXZ134:RXZ167 ROD134:ROD167 REH134:REH167 QUL134:QUL167 QKP134:QKP167 QAT134:QAT167 PQX134:PQX167 PHB134:PHB167 OXF134:OXF167 ONJ134:ONJ167 ODN134:ODN167 NTR134:NTR167 NJV134:NJV167 MZZ134:MZZ167 MQD134:MQD167 MGH134:MGH167 LWL134:LWL167 LMP134:LMP167 LCT134:LCT167 KSX134:KSX167 KJB134:KJB167 JZF134:JZF167 JPJ134:JPJ167 JFN134:JFN167 IVR134:IVR167 ILV134:ILV167 IBZ134:IBZ167 HSD134:HSD167 HIH134:HIH167 GYL134:GYL167 GOP134:GOP167 GET134:GET167 FUX134:FUX167 FLB134:FLB167 FBF134:FBF167 ERJ134:ERJ167 EHN134:EHN167 DXR134:DXR167 DNV134:DNV167 DDZ134:DDZ167 CUD134:CUD167 CKH134:CKH167 CAL134:CAL167 BQP134:BQP167 BGT134:BGT167 AWX134:AWX167 ANB134:ANB167 ADF134:ADF167 TJ134:TJ167 JN134:JN167 R7:R19 WVZ7:WVZ131 JN7:JN131 TJ7:TJ131 ADF7:ADF131 ANB7:ANB131 AWX7:AWX131 BGT7:BGT131 BQP7:BQP131 CAL7:CAL131 CKH7:CKH131 CUD7:CUD131 DDZ7:DDZ131 DNV7:DNV131 DXR7:DXR131 EHN7:EHN131 ERJ7:ERJ131 FBF7:FBF131 FLB7:FLB131 FUX7:FUX131 GET7:GET131 GOP7:GOP131 GYL7:GYL131 HIH7:HIH131 HSD7:HSD131 IBZ7:IBZ131 ILV7:ILV131 IVR7:IVR131 JFN7:JFN131 JPJ7:JPJ131 JZF7:JZF131 KJB7:KJB131 KSX7:KSX131 LCT7:LCT131 LMP7:LMP131 LWL7:LWL131 MGH7:MGH131 MQD7:MQD131 MZZ7:MZZ131 NJV7:NJV131 NTR7:NTR131 ODN7:ODN131 ONJ7:ONJ131 OXF7:OXF131 PHB7:PHB131 PQX7:PQX131 QAT7:QAT131 QKP7:QKP131 QUL7:QUL131 REH7:REH131 ROD7:ROD131 RXZ7:RXZ131 SHV7:SHV131 SRR7:SRR131 TBN7:TBN131 TLJ7:TLJ131 TVF7:TVF131 UFB7:UFB131 UOX7:UOX131 UYT7:UYT131 VIP7:VIP131 VSL7:VSL131 WCH7:WCH131 WMD7:WMD131 R25:R131">
      <formula1>#REF!</formula1>
    </dataValidation>
  </dataValidations>
  <printOptions horizontalCentered="1"/>
  <pageMargins left="0.78740157480314965" right="0.78740157480314965" top="0.98425196850393704" bottom="0.6692913385826772" header="0.47244094488188981" footer="0"/>
  <pageSetup paperSize="14" scale="26" orientation="landscape" r:id="rId1"/>
  <headerFooter alignWithMargins="0">
    <oddHeader>&amp;C&amp;14INVENTARIO INDICADORES REPORTADOS
CALIDAD</oddHeader>
    <oddFooter>&amp;LGiovannni&amp;CPágina &amp;P&amp;R&amp;D</oddFooter>
  </headerFooter>
  <rowBreaks count="1" manualBreakCount="1">
    <brk id="49" max="47" man="1"/>
  </rowBreaks>
  <colBreaks count="1" manualBreakCount="1">
    <brk id="18"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IW503"/>
  <sheetViews>
    <sheetView zoomScale="80" zoomScaleNormal="80" zoomScaleSheetLayoutView="70" workbookViewId="0">
      <pane xSplit="2" ySplit="6" topLeftCell="C8" activePane="bottomRight" state="frozen"/>
      <selection pane="topRight" activeCell="C1" sqref="C1"/>
      <selection pane="bottomLeft" activeCell="A7" sqref="A7"/>
      <selection pane="bottomRight" activeCell="E10" sqref="E10:J10"/>
    </sheetView>
  </sheetViews>
  <sheetFormatPr baseColWidth="10" defaultRowHeight="12.75" x14ac:dyDescent="0.2"/>
  <cols>
    <col min="1" max="1" width="25.28515625" style="1549" customWidth="1"/>
    <col min="2" max="2" width="36.85546875" style="143" customWidth="1"/>
    <col min="3" max="3" width="45.42578125" style="1550" customWidth="1"/>
    <col min="4" max="4" width="22.7109375" style="1551" customWidth="1"/>
    <col min="5" max="12" width="10.42578125" style="423" customWidth="1"/>
    <col min="13" max="13" width="12" style="423" customWidth="1"/>
    <col min="14" max="16" width="10.42578125" style="423" customWidth="1"/>
    <col min="17" max="17" width="14.5703125" style="30" customWidth="1"/>
    <col min="18" max="20" width="11.42578125" style="2" hidden="1" customWidth="1"/>
    <col min="21" max="21" width="12.7109375" style="30" hidden="1" customWidth="1"/>
    <col min="22" max="22" width="7.42578125" style="30" customWidth="1"/>
    <col min="23" max="23" width="11.42578125" style="1237"/>
    <col min="24" max="24" width="25.140625" style="2" customWidth="1"/>
    <col min="25" max="257" width="11.42578125" style="2"/>
    <col min="258" max="258" width="22.42578125" style="2" customWidth="1"/>
    <col min="259" max="259" width="39.42578125" style="2" customWidth="1"/>
    <col min="260" max="260" width="20.28515625" style="2" customWidth="1"/>
    <col min="261" max="261" width="11.7109375" style="2" customWidth="1"/>
    <col min="262" max="262" width="11.5703125" style="2" customWidth="1"/>
    <col min="263" max="263" width="10.7109375" style="2" bestFit="1" customWidth="1"/>
    <col min="264" max="264" width="10" style="2" customWidth="1"/>
    <col min="265" max="265" width="10.5703125" style="2" customWidth="1"/>
    <col min="266" max="267" width="7.7109375" style="2" customWidth="1"/>
    <col min="268" max="268" width="8.7109375" style="2" customWidth="1"/>
    <col min="269" max="270" width="7.7109375" style="2" customWidth="1"/>
    <col min="271" max="271" width="9.28515625" style="2" customWidth="1"/>
    <col min="272" max="272" width="13.5703125" style="2" customWidth="1"/>
    <col min="273" max="273" width="12.7109375" style="2" customWidth="1"/>
    <col min="274" max="278" width="0" style="2" hidden="1" customWidth="1"/>
    <col min="279" max="513" width="11.42578125" style="2"/>
    <col min="514" max="514" width="22.42578125" style="2" customWidth="1"/>
    <col min="515" max="515" width="39.42578125" style="2" customWidth="1"/>
    <col min="516" max="516" width="20.28515625" style="2" customWidth="1"/>
    <col min="517" max="517" width="11.7109375" style="2" customWidth="1"/>
    <col min="518" max="518" width="11.5703125" style="2" customWidth="1"/>
    <col min="519" max="519" width="10.7109375" style="2" bestFit="1" customWidth="1"/>
    <col min="520" max="520" width="10" style="2" customWidth="1"/>
    <col min="521" max="521" width="10.5703125" style="2" customWidth="1"/>
    <col min="522" max="523" width="7.7109375" style="2" customWidth="1"/>
    <col min="524" max="524" width="8.7109375" style="2" customWidth="1"/>
    <col min="525" max="526" width="7.7109375" style="2" customWidth="1"/>
    <col min="527" max="527" width="9.28515625" style="2" customWidth="1"/>
    <col min="528" max="528" width="13.5703125" style="2" customWidth="1"/>
    <col min="529" max="529" width="12.7109375" style="2" customWidth="1"/>
    <col min="530" max="534" width="0" style="2" hidden="1" customWidth="1"/>
    <col min="535" max="769" width="11.42578125" style="2"/>
    <col min="770" max="770" width="22.42578125" style="2" customWidth="1"/>
    <col min="771" max="771" width="39.42578125" style="2" customWidth="1"/>
    <col min="772" max="772" width="20.28515625" style="2" customWidth="1"/>
    <col min="773" max="773" width="11.7109375" style="2" customWidth="1"/>
    <col min="774" max="774" width="11.5703125" style="2" customWidth="1"/>
    <col min="775" max="775" width="10.7109375" style="2" bestFit="1" customWidth="1"/>
    <col min="776" max="776" width="10" style="2" customWidth="1"/>
    <col min="777" max="777" width="10.5703125" style="2" customWidth="1"/>
    <col min="778" max="779" width="7.7109375" style="2" customWidth="1"/>
    <col min="780" max="780" width="8.7109375" style="2" customWidth="1"/>
    <col min="781" max="782" width="7.7109375" style="2" customWidth="1"/>
    <col min="783" max="783" width="9.28515625" style="2" customWidth="1"/>
    <col min="784" max="784" width="13.5703125" style="2" customWidth="1"/>
    <col min="785" max="785" width="12.7109375" style="2" customWidth="1"/>
    <col min="786" max="790" width="0" style="2" hidden="1" customWidth="1"/>
    <col min="791" max="1025" width="11.42578125" style="2"/>
    <col min="1026" max="1026" width="22.42578125" style="2" customWidth="1"/>
    <col min="1027" max="1027" width="39.42578125" style="2" customWidth="1"/>
    <col min="1028" max="1028" width="20.28515625" style="2" customWidth="1"/>
    <col min="1029" max="1029" width="11.7109375" style="2" customWidth="1"/>
    <col min="1030" max="1030" width="11.5703125" style="2" customWidth="1"/>
    <col min="1031" max="1031" width="10.7109375" style="2" bestFit="1" customWidth="1"/>
    <col min="1032" max="1032" width="10" style="2" customWidth="1"/>
    <col min="1033" max="1033" width="10.5703125" style="2" customWidth="1"/>
    <col min="1034" max="1035" width="7.7109375" style="2" customWidth="1"/>
    <col min="1036" max="1036" width="8.7109375" style="2" customWidth="1"/>
    <col min="1037" max="1038" width="7.7109375" style="2" customWidth="1"/>
    <col min="1039" max="1039" width="9.28515625" style="2" customWidth="1"/>
    <col min="1040" max="1040" width="13.5703125" style="2" customWidth="1"/>
    <col min="1041" max="1041" width="12.7109375" style="2" customWidth="1"/>
    <col min="1042" max="1046" width="0" style="2" hidden="1" customWidth="1"/>
    <col min="1047" max="1281" width="11.42578125" style="2"/>
    <col min="1282" max="1282" width="22.42578125" style="2" customWidth="1"/>
    <col min="1283" max="1283" width="39.42578125" style="2" customWidth="1"/>
    <col min="1284" max="1284" width="20.28515625" style="2" customWidth="1"/>
    <col min="1285" max="1285" width="11.7109375" style="2" customWidth="1"/>
    <col min="1286" max="1286" width="11.5703125" style="2" customWidth="1"/>
    <col min="1287" max="1287" width="10.7109375" style="2" bestFit="1" customWidth="1"/>
    <col min="1288" max="1288" width="10" style="2" customWidth="1"/>
    <col min="1289" max="1289" width="10.5703125" style="2" customWidth="1"/>
    <col min="1290" max="1291" width="7.7109375" style="2" customWidth="1"/>
    <col min="1292" max="1292" width="8.7109375" style="2" customWidth="1"/>
    <col min="1293" max="1294" width="7.7109375" style="2" customWidth="1"/>
    <col min="1295" max="1295" width="9.28515625" style="2" customWidth="1"/>
    <col min="1296" max="1296" width="13.5703125" style="2" customWidth="1"/>
    <col min="1297" max="1297" width="12.7109375" style="2" customWidth="1"/>
    <col min="1298" max="1302" width="0" style="2" hidden="1" customWidth="1"/>
    <col min="1303" max="1537" width="11.42578125" style="2"/>
    <col min="1538" max="1538" width="22.42578125" style="2" customWidth="1"/>
    <col min="1539" max="1539" width="39.42578125" style="2" customWidth="1"/>
    <col min="1540" max="1540" width="20.28515625" style="2" customWidth="1"/>
    <col min="1541" max="1541" width="11.7109375" style="2" customWidth="1"/>
    <col min="1542" max="1542" width="11.5703125" style="2" customWidth="1"/>
    <col min="1543" max="1543" width="10.7109375" style="2" bestFit="1" customWidth="1"/>
    <col min="1544" max="1544" width="10" style="2" customWidth="1"/>
    <col min="1545" max="1545" width="10.5703125" style="2" customWidth="1"/>
    <col min="1546" max="1547" width="7.7109375" style="2" customWidth="1"/>
    <col min="1548" max="1548" width="8.7109375" style="2" customWidth="1"/>
    <col min="1549" max="1550" width="7.7109375" style="2" customWidth="1"/>
    <col min="1551" max="1551" width="9.28515625" style="2" customWidth="1"/>
    <col min="1552" max="1552" width="13.5703125" style="2" customWidth="1"/>
    <col min="1553" max="1553" width="12.7109375" style="2" customWidth="1"/>
    <col min="1554" max="1558" width="0" style="2" hidden="1" customWidth="1"/>
    <col min="1559" max="1793" width="11.42578125" style="2"/>
    <col min="1794" max="1794" width="22.42578125" style="2" customWidth="1"/>
    <col min="1795" max="1795" width="39.42578125" style="2" customWidth="1"/>
    <col min="1796" max="1796" width="20.28515625" style="2" customWidth="1"/>
    <col min="1797" max="1797" width="11.7109375" style="2" customWidth="1"/>
    <col min="1798" max="1798" width="11.5703125" style="2" customWidth="1"/>
    <col min="1799" max="1799" width="10.7109375" style="2" bestFit="1" customWidth="1"/>
    <col min="1800" max="1800" width="10" style="2" customWidth="1"/>
    <col min="1801" max="1801" width="10.5703125" style="2" customWidth="1"/>
    <col min="1802" max="1803" width="7.7109375" style="2" customWidth="1"/>
    <col min="1804" max="1804" width="8.7109375" style="2" customWidth="1"/>
    <col min="1805" max="1806" width="7.7109375" style="2" customWidth="1"/>
    <col min="1807" max="1807" width="9.28515625" style="2" customWidth="1"/>
    <col min="1808" max="1808" width="13.5703125" style="2" customWidth="1"/>
    <col min="1809" max="1809" width="12.7109375" style="2" customWidth="1"/>
    <col min="1810" max="1814" width="0" style="2" hidden="1" customWidth="1"/>
    <col min="1815" max="2049" width="11.42578125" style="2"/>
    <col min="2050" max="2050" width="22.42578125" style="2" customWidth="1"/>
    <col min="2051" max="2051" width="39.42578125" style="2" customWidth="1"/>
    <col min="2052" max="2052" width="20.28515625" style="2" customWidth="1"/>
    <col min="2053" max="2053" width="11.7109375" style="2" customWidth="1"/>
    <col min="2054" max="2054" width="11.5703125" style="2" customWidth="1"/>
    <col min="2055" max="2055" width="10.7109375" style="2" bestFit="1" customWidth="1"/>
    <col min="2056" max="2056" width="10" style="2" customWidth="1"/>
    <col min="2057" max="2057" width="10.5703125" style="2" customWidth="1"/>
    <col min="2058" max="2059" width="7.7109375" style="2" customWidth="1"/>
    <col min="2060" max="2060" width="8.7109375" style="2" customWidth="1"/>
    <col min="2061" max="2062" width="7.7109375" style="2" customWidth="1"/>
    <col min="2063" max="2063" width="9.28515625" style="2" customWidth="1"/>
    <col min="2064" max="2064" width="13.5703125" style="2" customWidth="1"/>
    <col min="2065" max="2065" width="12.7109375" style="2" customWidth="1"/>
    <col min="2066" max="2070" width="0" style="2" hidden="1" customWidth="1"/>
    <col min="2071" max="2305" width="11.42578125" style="2"/>
    <col min="2306" max="2306" width="22.42578125" style="2" customWidth="1"/>
    <col min="2307" max="2307" width="39.42578125" style="2" customWidth="1"/>
    <col min="2308" max="2308" width="20.28515625" style="2" customWidth="1"/>
    <col min="2309" max="2309" width="11.7109375" style="2" customWidth="1"/>
    <col min="2310" max="2310" width="11.5703125" style="2" customWidth="1"/>
    <col min="2311" max="2311" width="10.7109375" style="2" bestFit="1" customWidth="1"/>
    <col min="2312" max="2312" width="10" style="2" customWidth="1"/>
    <col min="2313" max="2313" width="10.5703125" style="2" customWidth="1"/>
    <col min="2314" max="2315" width="7.7109375" style="2" customWidth="1"/>
    <col min="2316" max="2316" width="8.7109375" style="2" customWidth="1"/>
    <col min="2317" max="2318" width="7.7109375" style="2" customWidth="1"/>
    <col min="2319" max="2319" width="9.28515625" style="2" customWidth="1"/>
    <col min="2320" max="2320" width="13.5703125" style="2" customWidth="1"/>
    <col min="2321" max="2321" width="12.7109375" style="2" customWidth="1"/>
    <col min="2322" max="2326" width="0" style="2" hidden="1" customWidth="1"/>
    <col min="2327" max="2561" width="11.42578125" style="2"/>
    <col min="2562" max="2562" width="22.42578125" style="2" customWidth="1"/>
    <col min="2563" max="2563" width="39.42578125" style="2" customWidth="1"/>
    <col min="2564" max="2564" width="20.28515625" style="2" customWidth="1"/>
    <col min="2565" max="2565" width="11.7109375" style="2" customWidth="1"/>
    <col min="2566" max="2566" width="11.5703125" style="2" customWidth="1"/>
    <col min="2567" max="2567" width="10.7109375" style="2" bestFit="1" customWidth="1"/>
    <col min="2568" max="2568" width="10" style="2" customWidth="1"/>
    <col min="2569" max="2569" width="10.5703125" style="2" customWidth="1"/>
    <col min="2570" max="2571" width="7.7109375" style="2" customWidth="1"/>
    <col min="2572" max="2572" width="8.7109375" style="2" customWidth="1"/>
    <col min="2573" max="2574" width="7.7109375" style="2" customWidth="1"/>
    <col min="2575" max="2575" width="9.28515625" style="2" customWidth="1"/>
    <col min="2576" max="2576" width="13.5703125" style="2" customWidth="1"/>
    <col min="2577" max="2577" width="12.7109375" style="2" customWidth="1"/>
    <col min="2578" max="2582" width="0" style="2" hidden="1" customWidth="1"/>
    <col min="2583" max="2817" width="11.42578125" style="2"/>
    <col min="2818" max="2818" width="22.42578125" style="2" customWidth="1"/>
    <col min="2819" max="2819" width="39.42578125" style="2" customWidth="1"/>
    <col min="2820" max="2820" width="20.28515625" style="2" customWidth="1"/>
    <col min="2821" max="2821" width="11.7109375" style="2" customWidth="1"/>
    <col min="2822" max="2822" width="11.5703125" style="2" customWidth="1"/>
    <col min="2823" max="2823" width="10.7109375" style="2" bestFit="1" customWidth="1"/>
    <col min="2824" max="2824" width="10" style="2" customWidth="1"/>
    <col min="2825" max="2825" width="10.5703125" style="2" customWidth="1"/>
    <col min="2826" max="2827" width="7.7109375" style="2" customWidth="1"/>
    <col min="2828" max="2828" width="8.7109375" style="2" customWidth="1"/>
    <col min="2829" max="2830" width="7.7109375" style="2" customWidth="1"/>
    <col min="2831" max="2831" width="9.28515625" style="2" customWidth="1"/>
    <col min="2832" max="2832" width="13.5703125" style="2" customWidth="1"/>
    <col min="2833" max="2833" width="12.7109375" style="2" customWidth="1"/>
    <col min="2834" max="2838" width="0" style="2" hidden="1" customWidth="1"/>
    <col min="2839" max="3073" width="11.42578125" style="2"/>
    <col min="3074" max="3074" width="22.42578125" style="2" customWidth="1"/>
    <col min="3075" max="3075" width="39.42578125" style="2" customWidth="1"/>
    <col min="3076" max="3076" width="20.28515625" style="2" customWidth="1"/>
    <col min="3077" max="3077" width="11.7109375" style="2" customWidth="1"/>
    <col min="3078" max="3078" width="11.5703125" style="2" customWidth="1"/>
    <col min="3079" max="3079" width="10.7109375" style="2" bestFit="1" customWidth="1"/>
    <col min="3080" max="3080" width="10" style="2" customWidth="1"/>
    <col min="3081" max="3081" width="10.5703125" style="2" customWidth="1"/>
    <col min="3082" max="3083" width="7.7109375" style="2" customWidth="1"/>
    <col min="3084" max="3084" width="8.7109375" style="2" customWidth="1"/>
    <col min="3085" max="3086" width="7.7109375" style="2" customWidth="1"/>
    <col min="3087" max="3087" width="9.28515625" style="2" customWidth="1"/>
    <col min="3088" max="3088" width="13.5703125" style="2" customWidth="1"/>
    <col min="3089" max="3089" width="12.7109375" style="2" customWidth="1"/>
    <col min="3090" max="3094" width="0" style="2" hidden="1" customWidth="1"/>
    <col min="3095" max="3329" width="11.42578125" style="2"/>
    <col min="3330" max="3330" width="22.42578125" style="2" customWidth="1"/>
    <col min="3331" max="3331" width="39.42578125" style="2" customWidth="1"/>
    <col min="3332" max="3332" width="20.28515625" style="2" customWidth="1"/>
    <col min="3333" max="3333" width="11.7109375" style="2" customWidth="1"/>
    <col min="3334" max="3334" width="11.5703125" style="2" customWidth="1"/>
    <col min="3335" max="3335" width="10.7109375" style="2" bestFit="1" customWidth="1"/>
    <col min="3336" max="3336" width="10" style="2" customWidth="1"/>
    <col min="3337" max="3337" width="10.5703125" style="2" customWidth="1"/>
    <col min="3338" max="3339" width="7.7109375" style="2" customWidth="1"/>
    <col min="3340" max="3340" width="8.7109375" style="2" customWidth="1"/>
    <col min="3341" max="3342" width="7.7109375" style="2" customWidth="1"/>
    <col min="3343" max="3343" width="9.28515625" style="2" customWidth="1"/>
    <col min="3344" max="3344" width="13.5703125" style="2" customWidth="1"/>
    <col min="3345" max="3345" width="12.7109375" style="2" customWidth="1"/>
    <col min="3346" max="3350" width="0" style="2" hidden="1" customWidth="1"/>
    <col min="3351" max="3585" width="11.42578125" style="2"/>
    <col min="3586" max="3586" width="22.42578125" style="2" customWidth="1"/>
    <col min="3587" max="3587" width="39.42578125" style="2" customWidth="1"/>
    <col min="3588" max="3588" width="20.28515625" style="2" customWidth="1"/>
    <col min="3589" max="3589" width="11.7109375" style="2" customWidth="1"/>
    <col min="3590" max="3590" width="11.5703125" style="2" customWidth="1"/>
    <col min="3591" max="3591" width="10.7109375" style="2" bestFit="1" customWidth="1"/>
    <col min="3592" max="3592" width="10" style="2" customWidth="1"/>
    <col min="3593" max="3593" width="10.5703125" style="2" customWidth="1"/>
    <col min="3594" max="3595" width="7.7109375" style="2" customWidth="1"/>
    <col min="3596" max="3596" width="8.7109375" style="2" customWidth="1"/>
    <col min="3597" max="3598" width="7.7109375" style="2" customWidth="1"/>
    <col min="3599" max="3599" width="9.28515625" style="2" customWidth="1"/>
    <col min="3600" max="3600" width="13.5703125" style="2" customWidth="1"/>
    <col min="3601" max="3601" width="12.7109375" style="2" customWidth="1"/>
    <col min="3602" max="3606" width="0" style="2" hidden="1" customWidth="1"/>
    <col min="3607" max="3841" width="11.42578125" style="2"/>
    <col min="3842" max="3842" width="22.42578125" style="2" customWidth="1"/>
    <col min="3843" max="3843" width="39.42578125" style="2" customWidth="1"/>
    <col min="3844" max="3844" width="20.28515625" style="2" customWidth="1"/>
    <col min="3845" max="3845" width="11.7109375" style="2" customWidth="1"/>
    <col min="3846" max="3846" width="11.5703125" style="2" customWidth="1"/>
    <col min="3847" max="3847" width="10.7109375" style="2" bestFit="1" customWidth="1"/>
    <col min="3848" max="3848" width="10" style="2" customWidth="1"/>
    <col min="3849" max="3849" width="10.5703125" style="2" customWidth="1"/>
    <col min="3850" max="3851" width="7.7109375" style="2" customWidth="1"/>
    <col min="3852" max="3852" width="8.7109375" style="2" customWidth="1"/>
    <col min="3853" max="3854" width="7.7109375" style="2" customWidth="1"/>
    <col min="3855" max="3855" width="9.28515625" style="2" customWidth="1"/>
    <col min="3856" max="3856" width="13.5703125" style="2" customWidth="1"/>
    <col min="3857" max="3857" width="12.7109375" style="2" customWidth="1"/>
    <col min="3858" max="3862" width="0" style="2" hidden="1" customWidth="1"/>
    <col min="3863" max="4097" width="11.42578125" style="2"/>
    <col min="4098" max="4098" width="22.42578125" style="2" customWidth="1"/>
    <col min="4099" max="4099" width="39.42578125" style="2" customWidth="1"/>
    <col min="4100" max="4100" width="20.28515625" style="2" customWidth="1"/>
    <col min="4101" max="4101" width="11.7109375" style="2" customWidth="1"/>
    <col min="4102" max="4102" width="11.5703125" style="2" customWidth="1"/>
    <col min="4103" max="4103" width="10.7109375" style="2" bestFit="1" customWidth="1"/>
    <col min="4104" max="4104" width="10" style="2" customWidth="1"/>
    <col min="4105" max="4105" width="10.5703125" style="2" customWidth="1"/>
    <col min="4106" max="4107" width="7.7109375" style="2" customWidth="1"/>
    <col min="4108" max="4108" width="8.7109375" style="2" customWidth="1"/>
    <col min="4109" max="4110" width="7.7109375" style="2" customWidth="1"/>
    <col min="4111" max="4111" width="9.28515625" style="2" customWidth="1"/>
    <col min="4112" max="4112" width="13.5703125" style="2" customWidth="1"/>
    <col min="4113" max="4113" width="12.7109375" style="2" customWidth="1"/>
    <col min="4114" max="4118" width="0" style="2" hidden="1" customWidth="1"/>
    <col min="4119" max="4353" width="11.42578125" style="2"/>
    <col min="4354" max="4354" width="22.42578125" style="2" customWidth="1"/>
    <col min="4355" max="4355" width="39.42578125" style="2" customWidth="1"/>
    <col min="4356" max="4356" width="20.28515625" style="2" customWidth="1"/>
    <col min="4357" max="4357" width="11.7109375" style="2" customWidth="1"/>
    <col min="4358" max="4358" width="11.5703125" style="2" customWidth="1"/>
    <col min="4359" max="4359" width="10.7109375" style="2" bestFit="1" customWidth="1"/>
    <col min="4360" max="4360" width="10" style="2" customWidth="1"/>
    <col min="4361" max="4361" width="10.5703125" style="2" customWidth="1"/>
    <col min="4362" max="4363" width="7.7109375" style="2" customWidth="1"/>
    <col min="4364" max="4364" width="8.7109375" style="2" customWidth="1"/>
    <col min="4365" max="4366" width="7.7109375" style="2" customWidth="1"/>
    <col min="4367" max="4367" width="9.28515625" style="2" customWidth="1"/>
    <col min="4368" max="4368" width="13.5703125" style="2" customWidth="1"/>
    <col min="4369" max="4369" width="12.7109375" style="2" customWidth="1"/>
    <col min="4370" max="4374" width="0" style="2" hidden="1" customWidth="1"/>
    <col min="4375" max="4609" width="11.42578125" style="2"/>
    <col min="4610" max="4610" width="22.42578125" style="2" customWidth="1"/>
    <col min="4611" max="4611" width="39.42578125" style="2" customWidth="1"/>
    <col min="4612" max="4612" width="20.28515625" style="2" customWidth="1"/>
    <col min="4613" max="4613" width="11.7109375" style="2" customWidth="1"/>
    <col min="4614" max="4614" width="11.5703125" style="2" customWidth="1"/>
    <col min="4615" max="4615" width="10.7109375" style="2" bestFit="1" customWidth="1"/>
    <col min="4616" max="4616" width="10" style="2" customWidth="1"/>
    <col min="4617" max="4617" width="10.5703125" style="2" customWidth="1"/>
    <col min="4618" max="4619" width="7.7109375" style="2" customWidth="1"/>
    <col min="4620" max="4620" width="8.7109375" style="2" customWidth="1"/>
    <col min="4621" max="4622" width="7.7109375" style="2" customWidth="1"/>
    <col min="4623" max="4623" width="9.28515625" style="2" customWidth="1"/>
    <col min="4624" max="4624" width="13.5703125" style="2" customWidth="1"/>
    <col min="4625" max="4625" width="12.7109375" style="2" customWidth="1"/>
    <col min="4626" max="4630" width="0" style="2" hidden="1" customWidth="1"/>
    <col min="4631" max="4865" width="11.42578125" style="2"/>
    <col min="4866" max="4866" width="22.42578125" style="2" customWidth="1"/>
    <col min="4867" max="4867" width="39.42578125" style="2" customWidth="1"/>
    <col min="4868" max="4868" width="20.28515625" style="2" customWidth="1"/>
    <col min="4869" max="4869" width="11.7109375" style="2" customWidth="1"/>
    <col min="4870" max="4870" width="11.5703125" style="2" customWidth="1"/>
    <col min="4871" max="4871" width="10.7109375" style="2" bestFit="1" customWidth="1"/>
    <col min="4872" max="4872" width="10" style="2" customWidth="1"/>
    <col min="4873" max="4873" width="10.5703125" style="2" customWidth="1"/>
    <col min="4874" max="4875" width="7.7109375" style="2" customWidth="1"/>
    <col min="4876" max="4876" width="8.7109375" style="2" customWidth="1"/>
    <col min="4877" max="4878" width="7.7109375" style="2" customWidth="1"/>
    <col min="4879" max="4879" width="9.28515625" style="2" customWidth="1"/>
    <col min="4880" max="4880" width="13.5703125" style="2" customWidth="1"/>
    <col min="4881" max="4881" width="12.7109375" style="2" customWidth="1"/>
    <col min="4882" max="4886" width="0" style="2" hidden="1" customWidth="1"/>
    <col min="4887" max="5121" width="11.42578125" style="2"/>
    <col min="5122" max="5122" width="22.42578125" style="2" customWidth="1"/>
    <col min="5123" max="5123" width="39.42578125" style="2" customWidth="1"/>
    <col min="5124" max="5124" width="20.28515625" style="2" customWidth="1"/>
    <col min="5125" max="5125" width="11.7109375" style="2" customWidth="1"/>
    <col min="5126" max="5126" width="11.5703125" style="2" customWidth="1"/>
    <col min="5127" max="5127" width="10.7109375" style="2" bestFit="1" customWidth="1"/>
    <col min="5128" max="5128" width="10" style="2" customWidth="1"/>
    <col min="5129" max="5129" width="10.5703125" style="2" customWidth="1"/>
    <col min="5130" max="5131" width="7.7109375" style="2" customWidth="1"/>
    <col min="5132" max="5132" width="8.7109375" style="2" customWidth="1"/>
    <col min="5133" max="5134" width="7.7109375" style="2" customWidth="1"/>
    <col min="5135" max="5135" width="9.28515625" style="2" customWidth="1"/>
    <col min="5136" max="5136" width="13.5703125" style="2" customWidth="1"/>
    <col min="5137" max="5137" width="12.7109375" style="2" customWidth="1"/>
    <col min="5138" max="5142" width="0" style="2" hidden="1" customWidth="1"/>
    <col min="5143" max="5377" width="11.42578125" style="2"/>
    <col min="5378" max="5378" width="22.42578125" style="2" customWidth="1"/>
    <col min="5379" max="5379" width="39.42578125" style="2" customWidth="1"/>
    <col min="5380" max="5380" width="20.28515625" style="2" customWidth="1"/>
    <col min="5381" max="5381" width="11.7109375" style="2" customWidth="1"/>
    <col min="5382" max="5382" width="11.5703125" style="2" customWidth="1"/>
    <col min="5383" max="5383" width="10.7109375" style="2" bestFit="1" customWidth="1"/>
    <col min="5384" max="5384" width="10" style="2" customWidth="1"/>
    <col min="5385" max="5385" width="10.5703125" style="2" customWidth="1"/>
    <col min="5386" max="5387" width="7.7109375" style="2" customWidth="1"/>
    <col min="5388" max="5388" width="8.7109375" style="2" customWidth="1"/>
    <col min="5389" max="5390" width="7.7109375" style="2" customWidth="1"/>
    <col min="5391" max="5391" width="9.28515625" style="2" customWidth="1"/>
    <col min="5392" max="5392" width="13.5703125" style="2" customWidth="1"/>
    <col min="5393" max="5393" width="12.7109375" style="2" customWidth="1"/>
    <col min="5394" max="5398" width="0" style="2" hidden="1" customWidth="1"/>
    <col min="5399" max="5633" width="11.42578125" style="2"/>
    <col min="5634" max="5634" width="22.42578125" style="2" customWidth="1"/>
    <col min="5635" max="5635" width="39.42578125" style="2" customWidth="1"/>
    <col min="5636" max="5636" width="20.28515625" style="2" customWidth="1"/>
    <col min="5637" max="5637" width="11.7109375" style="2" customWidth="1"/>
    <col min="5638" max="5638" width="11.5703125" style="2" customWidth="1"/>
    <col min="5639" max="5639" width="10.7109375" style="2" bestFit="1" customWidth="1"/>
    <col min="5640" max="5640" width="10" style="2" customWidth="1"/>
    <col min="5641" max="5641" width="10.5703125" style="2" customWidth="1"/>
    <col min="5642" max="5643" width="7.7109375" style="2" customWidth="1"/>
    <col min="5644" max="5644" width="8.7109375" style="2" customWidth="1"/>
    <col min="5645" max="5646" width="7.7109375" style="2" customWidth="1"/>
    <col min="5647" max="5647" width="9.28515625" style="2" customWidth="1"/>
    <col min="5648" max="5648" width="13.5703125" style="2" customWidth="1"/>
    <col min="5649" max="5649" width="12.7109375" style="2" customWidth="1"/>
    <col min="5650" max="5654" width="0" style="2" hidden="1" customWidth="1"/>
    <col min="5655" max="5889" width="11.42578125" style="2"/>
    <col min="5890" max="5890" width="22.42578125" style="2" customWidth="1"/>
    <col min="5891" max="5891" width="39.42578125" style="2" customWidth="1"/>
    <col min="5892" max="5892" width="20.28515625" style="2" customWidth="1"/>
    <col min="5893" max="5893" width="11.7109375" style="2" customWidth="1"/>
    <col min="5894" max="5894" width="11.5703125" style="2" customWidth="1"/>
    <col min="5895" max="5895" width="10.7109375" style="2" bestFit="1" customWidth="1"/>
    <col min="5896" max="5896" width="10" style="2" customWidth="1"/>
    <col min="5897" max="5897" width="10.5703125" style="2" customWidth="1"/>
    <col min="5898" max="5899" width="7.7109375" style="2" customWidth="1"/>
    <col min="5900" max="5900" width="8.7109375" style="2" customWidth="1"/>
    <col min="5901" max="5902" width="7.7109375" style="2" customWidth="1"/>
    <col min="5903" max="5903" width="9.28515625" style="2" customWidth="1"/>
    <col min="5904" max="5904" width="13.5703125" style="2" customWidth="1"/>
    <col min="5905" max="5905" width="12.7109375" style="2" customWidth="1"/>
    <col min="5906" max="5910" width="0" style="2" hidden="1" customWidth="1"/>
    <col min="5911" max="6145" width="11.42578125" style="2"/>
    <col min="6146" max="6146" width="22.42578125" style="2" customWidth="1"/>
    <col min="6147" max="6147" width="39.42578125" style="2" customWidth="1"/>
    <col min="6148" max="6148" width="20.28515625" style="2" customWidth="1"/>
    <col min="6149" max="6149" width="11.7109375" style="2" customWidth="1"/>
    <col min="6150" max="6150" width="11.5703125" style="2" customWidth="1"/>
    <col min="6151" max="6151" width="10.7109375" style="2" bestFit="1" customWidth="1"/>
    <col min="6152" max="6152" width="10" style="2" customWidth="1"/>
    <col min="6153" max="6153" width="10.5703125" style="2" customWidth="1"/>
    <col min="6154" max="6155" width="7.7109375" style="2" customWidth="1"/>
    <col min="6156" max="6156" width="8.7109375" style="2" customWidth="1"/>
    <col min="6157" max="6158" width="7.7109375" style="2" customWidth="1"/>
    <col min="6159" max="6159" width="9.28515625" style="2" customWidth="1"/>
    <col min="6160" max="6160" width="13.5703125" style="2" customWidth="1"/>
    <col min="6161" max="6161" width="12.7109375" style="2" customWidth="1"/>
    <col min="6162" max="6166" width="0" style="2" hidden="1" customWidth="1"/>
    <col min="6167" max="6401" width="11.42578125" style="2"/>
    <col min="6402" max="6402" width="22.42578125" style="2" customWidth="1"/>
    <col min="6403" max="6403" width="39.42578125" style="2" customWidth="1"/>
    <col min="6404" max="6404" width="20.28515625" style="2" customWidth="1"/>
    <col min="6405" max="6405" width="11.7109375" style="2" customWidth="1"/>
    <col min="6406" max="6406" width="11.5703125" style="2" customWidth="1"/>
    <col min="6407" max="6407" width="10.7109375" style="2" bestFit="1" customWidth="1"/>
    <col min="6408" max="6408" width="10" style="2" customWidth="1"/>
    <col min="6409" max="6409" width="10.5703125" style="2" customWidth="1"/>
    <col min="6410" max="6411" width="7.7109375" style="2" customWidth="1"/>
    <col min="6412" max="6412" width="8.7109375" style="2" customWidth="1"/>
    <col min="6413" max="6414" width="7.7109375" style="2" customWidth="1"/>
    <col min="6415" max="6415" width="9.28515625" style="2" customWidth="1"/>
    <col min="6416" max="6416" width="13.5703125" style="2" customWidth="1"/>
    <col min="6417" max="6417" width="12.7109375" style="2" customWidth="1"/>
    <col min="6418" max="6422" width="0" style="2" hidden="1" customWidth="1"/>
    <col min="6423" max="6657" width="11.42578125" style="2"/>
    <col min="6658" max="6658" width="22.42578125" style="2" customWidth="1"/>
    <col min="6659" max="6659" width="39.42578125" style="2" customWidth="1"/>
    <col min="6660" max="6660" width="20.28515625" style="2" customWidth="1"/>
    <col min="6661" max="6661" width="11.7109375" style="2" customWidth="1"/>
    <col min="6662" max="6662" width="11.5703125" style="2" customWidth="1"/>
    <col min="6663" max="6663" width="10.7109375" style="2" bestFit="1" customWidth="1"/>
    <col min="6664" max="6664" width="10" style="2" customWidth="1"/>
    <col min="6665" max="6665" width="10.5703125" style="2" customWidth="1"/>
    <col min="6666" max="6667" width="7.7109375" style="2" customWidth="1"/>
    <col min="6668" max="6668" width="8.7109375" style="2" customWidth="1"/>
    <col min="6669" max="6670" width="7.7109375" style="2" customWidth="1"/>
    <col min="6671" max="6671" width="9.28515625" style="2" customWidth="1"/>
    <col min="6672" max="6672" width="13.5703125" style="2" customWidth="1"/>
    <col min="6673" max="6673" width="12.7109375" style="2" customWidth="1"/>
    <col min="6674" max="6678" width="0" style="2" hidden="1" customWidth="1"/>
    <col min="6679" max="6913" width="11.42578125" style="2"/>
    <col min="6914" max="6914" width="22.42578125" style="2" customWidth="1"/>
    <col min="6915" max="6915" width="39.42578125" style="2" customWidth="1"/>
    <col min="6916" max="6916" width="20.28515625" style="2" customWidth="1"/>
    <col min="6917" max="6917" width="11.7109375" style="2" customWidth="1"/>
    <col min="6918" max="6918" width="11.5703125" style="2" customWidth="1"/>
    <col min="6919" max="6919" width="10.7109375" style="2" bestFit="1" customWidth="1"/>
    <col min="6920" max="6920" width="10" style="2" customWidth="1"/>
    <col min="6921" max="6921" width="10.5703125" style="2" customWidth="1"/>
    <col min="6922" max="6923" width="7.7109375" style="2" customWidth="1"/>
    <col min="6924" max="6924" width="8.7109375" style="2" customWidth="1"/>
    <col min="6925" max="6926" width="7.7109375" style="2" customWidth="1"/>
    <col min="6927" max="6927" width="9.28515625" style="2" customWidth="1"/>
    <col min="6928" max="6928" width="13.5703125" style="2" customWidth="1"/>
    <col min="6929" max="6929" width="12.7109375" style="2" customWidth="1"/>
    <col min="6930" max="6934" width="0" style="2" hidden="1" customWidth="1"/>
    <col min="6935" max="7169" width="11.42578125" style="2"/>
    <col min="7170" max="7170" width="22.42578125" style="2" customWidth="1"/>
    <col min="7171" max="7171" width="39.42578125" style="2" customWidth="1"/>
    <col min="7172" max="7172" width="20.28515625" style="2" customWidth="1"/>
    <col min="7173" max="7173" width="11.7109375" style="2" customWidth="1"/>
    <col min="7174" max="7174" width="11.5703125" style="2" customWidth="1"/>
    <col min="7175" max="7175" width="10.7109375" style="2" bestFit="1" customWidth="1"/>
    <col min="7176" max="7176" width="10" style="2" customWidth="1"/>
    <col min="7177" max="7177" width="10.5703125" style="2" customWidth="1"/>
    <col min="7178" max="7179" width="7.7109375" style="2" customWidth="1"/>
    <col min="7180" max="7180" width="8.7109375" style="2" customWidth="1"/>
    <col min="7181" max="7182" width="7.7109375" style="2" customWidth="1"/>
    <col min="7183" max="7183" width="9.28515625" style="2" customWidth="1"/>
    <col min="7184" max="7184" width="13.5703125" style="2" customWidth="1"/>
    <col min="7185" max="7185" width="12.7109375" style="2" customWidth="1"/>
    <col min="7186" max="7190" width="0" style="2" hidden="1" customWidth="1"/>
    <col min="7191" max="7425" width="11.42578125" style="2"/>
    <col min="7426" max="7426" width="22.42578125" style="2" customWidth="1"/>
    <col min="7427" max="7427" width="39.42578125" style="2" customWidth="1"/>
    <col min="7428" max="7428" width="20.28515625" style="2" customWidth="1"/>
    <col min="7429" max="7429" width="11.7109375" style="2" customWidth="1"/>
    <col min="7430" max="7430" width="11.5703125" style="2" customWidth="1"/>
    <col min="7431" max="7431" width="10.7109375" style="2" bestFit="1" customWidth="1"/>
    <col min="7432" max="7432" width="10" style="2" customWidth="1"/>
    <col min="7433" max="7433" width="10.5703125" style="2" customWidth="1"/>
    <col min="7434" max="7435" width="7.7109375" style="2" customWidth="1"/>
    <col min="7436" max="7436" width="8.7109375" style="2" customWidth="1"/>
    <col min="7437" max="7438" width="7.7109375" style="2" customWidth="1"/>
    <col min="7439" max="7439" width="9.28515625" style="2" customWidth="1"/>
    <col min="7440" max="7440" width="13.5703125" style="2" customWidth="1"/>
    <col min="7441" max="7441" width="12.7109375" style="2" customWidth="1"/>
    <col min="7442" max="7446" width="0" style="2" hidden="1" customWidth="1"/>
    <col min="7447" max="7681" width="11.42578125" style="2"/>
    <col min="7682" max="7682" width="22.42578125" style="2" customWidth="1"/>
    <col min="7683" max="7683" width="39.42578125" style="2" customWidth="1"/>
    <col min="7684" max="7684" width="20.28515625" style="2" customWidth="1"/>
    <col min="7685" max="7685" width="11.7109375" style="2" customWidth="1"/>
    <col min="7686" max="7686" width="11.5703125" style="2" customWidth="1"/>
    <col min="7687" max="7687" width="10.7109375" style="2" bestFit="1" customWidth="1"/>
    <col min="7688" max="7688" width="10" style="2" customWidth="1"/>
    <col min="7689" max="7689" width="10.5703125" style="2" customWidth="1"/>
    <col min="7690" max="7691" width="7.7109375" style="2" customWidth="1"/>
    <col min="7692" max="7692" width="8.7109375" style="2" customWidth="1"/>
    <col min="7693" max="7694" width="7.7109375" style="2" customWidth="1"/>
    <col min="7695" max="7695" width="9.28515625" style="2" customWidth="1"/>
    <col min="7696" max="7696" width="13.5703125" style="2" customWidth="1"/>
    <col min="7697" max="7697" width="12.7109375" style="2" customWidth="1"/>
    <col min="7698" max="7702" width="0" style="2" hidden="1" customWidth="1"/>
    <col min="7703" max="7937" width="11.42578125" style="2"/>
    <col min="7938" max="7938" width="22.42578125" style="2" customWidth="1"/>
    <col min="7939" max="7939" width="39.42578125" style="2" customWidth="1"/>
    <col min="7940" max="7940" width="20.28515625" style="2" customWidth="1"/>
    <col min="7941" max="7941" width="11.7109375" style="2" customWidth="1"/>
    <col min="7942" max="7942" width="11.5703125" style="2" customWidth="1"/>
    <col min="7943" max="7943" width="10.7109375" style="2" bestFit="1" customWidth="1"/>
    <col min="7944" max="7944" width="10" style="2" customWidth="1"/>
    <col min="7945" max="7945" width="10.5703125" style="2" customWidth="1"/>
    <col min="7946" max="7947" width="7.7109375" style="2" customWidth="1"/>
    <col min="7948" max="7948" width="8.7109375" style="2" customWidth="1"/>
    <col min="7949" max="7950" width="7.7109375" style="2" customWidth="1"/>
    <col min="7951" max="7951" width="9.28515625" style="2" customWidth="1"/>
    <col min="7952" max="7952" width="13.5703125" style="2" customWidth="1"/>
    <col min="7953" max="7953" width="12.7109375" style="2" customWidth="1"/>
    <col min="7954" max="7958" width="0" style="2" hidden="1" customWidth="1"/>
    <col min="7959" max="8193" width="11.42578125" style="2"/>
    <col min="8194" max="8194" width="22.42578125" style="2" customWidth="1"/>
    <col min="8195" max="8195" width="39.42578125" style="2" customWidth="1"/>
    <col min="8196" max="8196" width="20.28515625" style="2" customWidth="1"/>
    <col min="8197" max="8197" width="11.7109375" style="2" customWidth="1"/>
    <col min="8198" max="8198" width="11.5703125" style="2" customWidth="1"/>
    <col min="8199" max="8199" width="10.7109375" style="2" bestFit="1" customWidth="1"/>
    <col min="8200" max="8200" width="10" style="2" customWidth="1"/>
    <col min="8201" max="8201" width="10.5703125" style="2" customWidth="1"/>
    <col min="8202" max="8203" width="7.7109375" style="2" customWidth="1"/>
    <col min="8204" max="8204" width="8.7109375" style="2" customWidth="1"/>
    <col min="8205" max="8206" width="7.7109375" style="2" customWidth="1"/>
    <col min="8207" max="8207" width="9.28515625" style="2" customWidth="1"/>
    <col min="8208" max="8208" width="13.5703125" style="2" customWidth="1"/>
    <col min="8209" max="8209" width="12.7109375" style="2" customWidth="1"/>
    <col min="8210" max="8214" width="0" style="2" hidden="1" customWidth="1"/>
    <col min="8215" max="8449" width="11.42578125" style="2"/>
    <col min="8450" max="8450" width="22.42578125" style="2" customWidth="1"/>
    <col min="8451" max="8451" width="39.42578125" style="2" customWidth="1"/>
    <col min="8452" max="8452" width="20.28515625" style="2" customWidth="1"/>
    <col min="8453" max="8453" width="11.7109375" style="2" customWidth="1"/>
    <col min="8454" max="8454" width="11.5703125" style="2" customWidth="1"/>
    <col min="8455" max="8455" width="10.7109375" style="2" bestFit="1" customWidth="1"/>
    <col min="8456" max="8456" width="10" style="2" customWidth="1"/>
    <col min="8457" max="8457" width="10.5703125" style="2" customWidth="1"/>
    <col min="8458" max="8459" width="7.7109375" style="2" customWidth="1"/>
    <col min="8460" max="8460" width="8.7109375" style="2" customWidth="1"/>
    <col min="8461" max="8462" width="7.7109375" style="2" customWidth="1"/>
    <col min="8463" max="8463" width="9.28515625" style="2" customWidth="1"/>
    <col min="8464" max="8464" width="13.5703125" style="2" customWidth="1"/>
    <col min="8465" max="8465" width="12.7109375" style="2" customWidth="1"/>
    <col min="8466" max="8470" width="0" style="2" hidden="1" customWidth="1"/>
    <col min="8471" max="8705" width="11.42578125" style="2"/>
    <col min="8706" max="8706" width="22.42578125" style="2" customWidth="1"/>
    <col min="8707" max="8707" width="39.42578125" style="2" customWidth="1"/>
    <col min="8708" max="8708" width="20.28515625" style="2" customWidth="1"/>
    <col min="8709" max="8709" width="11.7109375" style="2" customWidth="1"/>
    <col min="8710" max="8710" width="11.5703125" style="2" customWidth="1"/>
    <col min="8711" max="8711" width="10.7109375" style="2" bestFit="1" customWidth="1"/>
    <col min="8712" max="8712" width="10" style="2" customWidth="1"/>
    <col min="8713" max="8713" width="10.5703125" style="2" customWidth="1"/>
    <col min="8714" max="8715" width="7.7109375" style="2" customWidth="1"/>
    <col min="8716" max="8716" width="8.7109375" style="2" customWidth="1"/>
    <col min="8717" max="8718" width="7.7109375" style="2" customWidth="1"/>
    <col min="8719" max="8719" width="9.28515625" style="2" customWidth="1"/>
    <col min="8720" max="8720" width="13.5703125" style="2" customWidth="1"/>
    <col min="8721" max="8721" width="12.7109375" style="2" customWidth="1"/>
    <col min="8722" max="8726" width="0" style="2" hidden="1" customWidth="1"/>
    <col min="8727" max="8961" width="11.42578125" style="2"/>
    <col min="8962" max="8962" width="22.42578125" style="2" customWidth="1"/>
    <col min="8963" max="8963" width="39.42578125" style="2" customWidth="1"/>
    <col min="8964" max="8964" width="20.28515625" style="2" customWidth="1"/>
    <col min="8965" max="8965" width="11.7109375" style="2" customWidth="1"/>
    <col min="8966" max="8966" width="11.5703125" style="2" customWidth="1"/>
    <col min="8967" max="8967" width="10.7109375" style="2" bestFit="1" customWidth="1"/>
    <col min="8968" max="8968" width="10" style="2" customWidth="1"/>
    <col min="8969" max="8969" width="10.5703125" style="2" customWidth="1"/>
    <col min="8970" max="8971" width="7.7109375" style="2" customWidth="1"/>
    <col min="8972" max="8972" width="8.7109375" style="2" customWidth="1"/>
    <col min="8973" max="8974" width="7.7109375" style="2" customWidth="1"/>
    <col min="8975" max="8975" width="9.28515625" style="2" customWidth="1"/>
    <col min="8976" max="8976" width="13.5703125" style="2" customWidth="1"/>
    <col min="8977" max="8977" width="12.7109375" style="2" customWidth="1"/>
    <col min="8978" max="8982" width="0" style="2" hidden="1" customWidth="1"/>
    <col min="8983" max="9217" width="11.42578125" style="2"/>
    <col min="9218" max="9218" width="22.42578125" style="2" customWidth="1"/>
    <col min="9219" max="9219" width="39.42578125" style="2" customWidth="1"/>
    <col min="9220" max="9220" width="20.28515625" style="2" customWidth="1"/>
    <col min="9221" max="9221" width="11.7109375" style="2" customWidth="1"/>
    <col min="9222" max="9222" width="11.5703125" style="2" customWidth="1"/>
    <col min="9223" max="9223" width="10.7109375" style="2" bestFit="1" customWidth="1"/>
    <col min="9224" max="9224" width="10" style="2" customWidth="1"/>
    <col min="9225" max="9225" width="10.5703125" style="2" customWidth="1"/>
    <col min="9226" max="9227" width="7.7109375" style="2" customWidth="1"/>
    <col min="9228" max="9228" width="8.7109375" style="2" customWidth="1"/>
    <col min="9229" max="9230" width="7.7109375" style="2" customWidth="1"/>
    <col min="9231" max="9231" width="9.28515625" style="2" customWidth="1"/>
    <col min="9232" max="9232" width="13.5703125" style="2" customWidth="1"/>
    <col min="9233" max="9233" width="12.7109375" style="2" customWidth="1"/>
    <col min="9234" max="9238" width="0" style="2" hidden="1" customWidth="1"/>
    <col min="9239" max="9473" width="11.42578125" style="2"/>
    <col min="9474" max="9474" width="22.42578125" style="2" customWidth="1"/>
    <col min="9475" max="9475" width="39.42578125" style="2" customWidth="1"/>
    <col min="9476" max="9476" width="20.28515625" style="2" customWidth="1"/>
    <col min="9477" max="9477" width="11.7109375" style="2" customWidth="1"/>
    <col min="9478" max="9478" width="11.5703125" style="2" customWidth="1"/>
    <col min="9479" max="9479" width="10.7109375" style="2" bestFit="1" customWidth="1"/>
    <col min="9480" max="9480" width="10" style="2" customWidth="1"/>
    <col min="9481" max="9481" width="10.5703125" style="2" customWidth="1"/>
    <col min="9482" max="9483" width="7.7109375" style="2" customWidth="1"/>
    <col min="9484" max="9484" width="8.7109375" style="2" customWidth="1"/>
    <col min="9485" max="9486" width="7.7109375" style="2" customWidth="1"/>
    <col min="9487" max="9487" width="9.28515625" style="2" customWidth="1"/>
    <col min="9488" max="9488" width="13.5703125" style="2" customWidth="1"/>
    <col min="9489" max="9489" width="12.7109375" style="2" customWidth="1"/>
    <col min="9490" max="9494" width="0" style="2" hidden="1" customWidth="1"/>
    <col min="9495" max="9729" width="11.42578125" style="2"/>
    <col min="9730" max="9730" width="22.42578125" style="2" customWidth="1"/>
    <col min="9731" max="9731" width="39.42578125" style="2" customWidth="1"/>
    <col min="9732" max="9732" width="20.28515625" style="2" customWidth="1"/>
    <col min="9733" max="9733" width="11.7109375" style="2" customWidth="1"/>
    <col min="9734" max="9734" width="11.5703125" style="2" customWidth="1"/>
    <col min="9735" max="9735" width="10.7109375" style="2" bestFit="1" customWidth="1"/>
    <col min="9736" max="9736" width="10" style="2" customWidth="1"/>
    <col min="9737" max="9737" width="10.5703125" style="2" customWidth="1"/>
    <col min="9738" max="9739" width="7.7109375" style="2" customWidth="1"/>
    <col min="9740" max="9740" width="8.7109375" style="2" customWidth="1"/>
    <col min="9741" max="9742" width="7.7109375" style="2" customWidth="1"/>
    <col min="9743" max="9743" width="9.28515625" style="2" customWidth="1"/>
    <col min="9744" max="9744" width="13.5703125" style="2" customWidth="1"/>
    <col min="9745" max="9745" width="12.7109375" style="2" customWidth="1"/>
    <col min="9746" max="9750" width="0" style="2" hidden="1" customWidth="1"/>
    <col min="9751" max="9985" width="11.42578125" style="2"/>
    <col min="9986" max="9986" width="22.42578125" style="2" customWidth="1"/>
    <col min="9987" max="9987" width="39.42578125" style="2" customWidth="1"/>
    <col min="9988" max="9988" width="20.28515625" style="2" customWidth="1"/>
    <col min="9989" max="9989" width="11.7109375" style="2" customWidth="1"/>
    <col min="9990" max="9990" width="11.5703125" style="2" customWidth="1"/>
    <col min="9991" max="9991" width="10.7109375" style="2" bestFit="1" customWidth="1"/>
    <col min="9992" max="9992" width="10" style="2" customWidth="1"/>
    <col min="9993" max="9993" width="10.5703125" style="2" customWidth="1"/>
    <col min="9994" max="9995" width="7.7109375" style="2" customWidth="1"/>
    <col min="9996" max="9996" width="8.7109375" style="2" customWidth="1"/>
    <col min="9997" max="9998" width="7.7109375" style="2" customWidth="1"/>
    <col min="9999" max="9999" width="9.28515625" style="2" customWidth="1"/>
    <col min="10000" max="10000" width="13.5703125" style="2" customWidth="1"/>
    <col min="10001" max="10001" width="12.7109375" style="2" customWidth="1"/>
    <col min="10002" max="10006" width="0" style="2" hidden="1" customWidth="1"/>
    <col min="10007" max="10241" width="11.42578125" style="2"/>
    <col min="10242" max="10242" width="22.42578125" style="2" customWidth="1"/>
    <col min="10243" max="10243" width="39.42578125" style="2" customWidth="1"/>
    <col min="10244" max="10244" width="20.28515625" style="2" customWidth="1"/>
    <col min="10245" max="10245" width="11.7109375" style="2" customWidth="1"/>
    <col min="10246" max="10246" width="11.5703125" style="2" customWidth="1"/>
    <col min="10247" max="10247" width="10.7109375" style="2" bestFit="1" customWidth="1"/>
    <col min="10248" max="10248" width="10" style="2" customWidth="1"/>
    <col min="10249" max="10249" width="10.5703125" style="2" customWidth="1"/>
    <col min="10250" max="10251" width="7.7109375" style="2" customWidth="1"/>
    <col min="10252" max="10252" width="8.7109375" style="2" customWidth="1"/>
    <col min="10253" max="10254" width="7.7109375" style="2" customWidth="1"/>
    <col min="10255" max="10255" width="9.28515625" style="2" customWidth="1"/>
    <col min="10256" max="10256" width="13.5703125" style="2" customWidth="1"/>
    <col min="10257" max="10257" width="12.7109375" style="2" customWidth="1"/>
    <col min="10258" max="10262" width="0" style="2" hidden="1" customWidth="1"/>
    <col min="10263" max="10497" width="11.42578125" style="2"/>
    <col min="10498" max="10498" width="22.42578125" style="2" customWidth="1"/>
    <col min="10499" max="10499" width="39.42578125" style="2" customWidth="1"/>
    <col min="10500" max="10500" width="20.28515625" style="2" customWidth="1"/>
    <col min="10501" max="10501" width="11.7109375" style="2" customWidth="1"/>
    <col min="10502" max="10502" width="11.5703125" style="2" customWidth="1"/>
    <col min="10503" max="10503" width="10.7109375" style="2" bestFit="1" customWidth="1"/>
    <col min="10504" max="10504" width="10" style="2" customWidth="1"/>
    <col min="10505" max="10505" width="10.5703125" style="2" customWidth="1"/>
    <col min="10506" max="10507" width="7.7109375" style="2" customWidth="1"/>
    <col min="10508" max="10508" width="8.7109375" style="2" customWidth="1"/>
    <col min="10509" max="10510" width="7.7109375" style="2" customWidth="1"/>
    <col min="10511" max="10511" width="9.28515625" style="2" customWidth="1"/>
    <col min="10512" max="10512" width="13.5703125" style="2" customWidth="1"/>
    <col min="10513" max="10513" width="12.7109375" style="2" customWidth="1"/>
    <col min="10514" max="10518" width="0" style="2" hidden="1" customWidth="1"/>
    <col min="10519" max="10753" width="11.42578125" style="2"/>
    <col min="10754" max="10754" width="22.42578125" style="2" customWidth="1"/>
    <col min="10755" max="10755" width="39.42578125" style="2" customWidth="1"/>
    <col min="10756" max="10756" width="20.28515625" style="2" customWidth="1"/>
    <col min="10757" max="10757" width="11.7109375" style="2" customWidth="1"/>
    <col min="10758" max="10758" width="11.5703125" style="2" customWidth="1"/>
    <col min="10759" max="10759" width="10.7109375" style="2" bestFit="1" customWidth="1"/>
    <col min="10760" max="10760" width="10" style="2" customWidth="1"/>
    <col min="10761" max="10761" width="10.5703125" style="2" customWidth="1"/>
    <col min="10762" max="10763" width="7.7109375" style="2" customWidth="1"/>
    <col min="10764" max="10764" width="8.7109375" style="2" customWidth="1"/>
    <col min="10765" max="10766" width="7.7109375" style="2" customWidth="1"/>
    <col min="10767" max="10767" width="9.28515625" style="2" customWidth="1"/>
    <col min="10768" max="10768" width="13.5703125" style="2" customWidth="1"/>
    <col min="10769" max="10769" width="12.7109375" style="2" customWidth="1"/>
    <col min="10770" max="10774" width="0" style="2" hidden="1" customWidth="1"/>
    <col min="10775" max="11009" width="11.42578125" style="2"/>
    <col min="11010" max="11010" width="22.42578125" style="2" customWidth="1"/>
    <col min="11011" max="11011" width="39.42578125" style="2" customWidth="1"/>
    <col min="11012" max="11012" width="20.28515625" style="2" customWidth="1"/>
    <col min="11013" max="11013" width="11.7109375" style="2" customWidth="1"/>
    <col min="11014" max="11014" width="11.5703125" style="2" customWidth="1"/>
    <col min="11015" max="11015" width="10.7109375" style="2" bestFit="1" customWidth="1"/>
    <col min="11016" max="11016" width="10" style="2" customWidth="1"/>
    <col min="11017" max="11017" width="10.5703125" style="2" customWidth="1"/>
    <col min="11018" max="11019" width="7.7109375" style="2" customWidth="1"/>
    <col min="11020" max="11020" width="8.7109375" style="2" customWidth="1"/>
    <col min="11021" max="11022" width="7.7109375" style="2" customWidth="1"/>
    <col min="11023" max="11023" width="9.28515625" style="2" customWidth="1"/>
    <col min="11024" max="11024" width="13.5703125" style="2" customWidth="1"/>
    <col min="11025" max="11025" width="12.7109375" style="2" customWidth="1"/>
    <col min="11026" max="11030" width="0" style="2" hidden="1" customWidth="1"/>
    <col min="11031" max="11265" width="11.42578125" style="2"/>
    <col min="11266" max="11266" width="22.42578125" style="2" customWidth="1"/>
    <col min="11267" max="11267" width="39.42578125" style="2" customWidth="1"/>
    <col min="11268" max="11268" width="20.28515625" style="2" customWidth="1"/>
    <col min="11269" max="11269" width="11.7109375" style="2" customWidth="1"/>
    <col min="11270" max="11270" width="11.5703125" style="2" customWidth="1"/>
    <col min="11271" max="11271" width="10.7109375" style="2" bestFit="1" customWidth="1"/>
    <col min="11272" max="11272" width="10" style="2" customWidth="1"/>
    <col min="11273" max="11273" width="10.5703125" style="2" customWidth="1"/>
    <col min="11274" max="11275" width="7.7109375" style="2" customWidth="1"/>
    <col min="11276" max="11276" width="8.7109375" style="2" customWidth="1"/>
    <col min="11277" max="11278" width="7.7109375" style="2" customWidth="1"/>
    <col min="11279" max="11279" width="9.28515625" style="2" customWidth="1"/>
    <col min="11280" max="11280" width="13.5703125" style="2" customWidth="1"/>
    <col min="11281" max="11281" width="12.7109375" style="2" customWidth="1"/>
    <col min="11282" max="11286" width="0" style="2" hidden="1" customWidth="1"/>
    <col min="11287" max="11521" width="11.42578125" style="2"/>
    <col min="11522" max="11522" width="22.42578125" style="2" customWidth="1"/>
    <col min="11523" max="11523" width="39.42578125" style="2" customWidth="1"/>
    <col min="11524" max="11524" width="20.28515625" style="2" customWidth="1"/>
    <col min="11525" max="11525" width="11.7109375" style="2" customWidth="1"/>
    <col min="11526" max="11526" width="11.5703125" style="2" customWidth="1"/>
    <col min="11527" max="11527" width="10.7109375" style="2" bestFit="1" customWidth="1"/>
    <col min="11528" max="11528" width="10" style="2" customWidth="1"/>
    <col min="11529" max="11529" width="10.5703125" style="2" customWidth="1"/>
    <col min="11530" max="11531" width="7.7109375" style="2" customWidth="1"/>
    <col min="11532" max="11532" width="8.7109375" style="2" customWidth="1"/>
    <col min="11533" max="11534" width="7.7109375" style="2" customWidth="1"/>
    <col min="11535" max="11535" width="9.28515625" style="2" customWidth="1"/>
    <col min="11536" max="11536" width="13.5703125" style="2" customWidth="1"/>
    <col min="11537" max="11537" width="12.7109375" style="2" customWidth="1"/>
    <col min="11538" max="11542" width="0" style="2" hidden="1" customWidth="1"/>
    <col min="11543" max="11777" width="11.42578125" style="2"/>
    <col min="11778" max="11778" width="22.42578125" style="2" customWidth="1"/>
    <col min="11779" max="11779" width="39.42578125" style="2" customWidth="1"/>
    <col min="11780" max="11780" width="20.28515625" style="2" customWidth="1"/>
    <col min="11781" max="11781" width="11.7109375" style="2" customWidth="1"/>
    <col min="11782" max="11782" width="11.5703125" style="2" customWidth="1"/>
    <col min="11783" max="11783" width="10.7109375" style="2" bestFit="1" customWidth="1"/>
    <col min="11784" max="11784" width="10" style="2" customWidth="1"/>
    <col min="11785" max="11785" width="10.5703125" style="2" customWidth="1"/>
    <col min="11786" max="11787" width="7.7109375" style="2" customWidth="1"/>
    <col min="11788" max="11788" width="8.7109375" style="2" customWidth="1"/>
    <col min="11789" max="11790" width="7.7109375" style="2" customWidth="1"/>
    <col min="11791" max="11791" width="9.28515625" style="2" customWidth="1"/>
    <col min="11792" max="11792" width="13.5703125" style="2" customWidth="1"/>
    <col min="11793" max="11793" width="12.7109375" style="2" customWidth="1"/>
    <col min="11794" max="11798" width="0" style="2" hidden="1" customWidth="1"/>
    <col min="11799" max="12033" width="11.42578125" style="2"/>
    <col min="12034" max="12034" width="22.42578125" style="2" customWidth="1"/>
    <col min="12035" max="12035" width="39.42578125" style="2" customWidth="1"/>
    <col min="12036" max="12036" width="20.28515625" style="2" customWidth="1"/>
    <col min="12037" max="12037" width="11.7109375" style="2" customWidth="1"/>
    <col min="12038" max="12038" width="11.5703125" style="2" customWidth="1"/>
    <col min="12039" max="12039" width="10.7109375" style="2" bestFit="1" customWidth="1"/>
    <col min="12040" max="12040" width="10" style="2" customWidth="1"/>
    <col min="12041" max="12041" width="10.5703125" style="2" customWidth="1"/>
    <col min="12042" max="12043" width="7.7109375" style="2" customWidth="1"/>
    <col min="12044" max="12044" width="8.7109375" style="2" customWidth="1"/>
    <col min="12045" max="12046" width="7.7109375" style="2" customWidth="1"/>
    <col min="12047" max="12047" width="9.28515625" style="2" customWidth="1"/>
    <col min="12048" max="12048" width="13.5703125" style="2" customWidth="1"/>
    <col min="12049" max="12049" width="12.7109375" style="2" customWidth="1"/>
    <col min="12050" max="12054" width="0" style="2" hidden="1" customWidth="1"/>
    <col min="12055" max="12289" width="11.42578125" style="2"/>
    <col min="12290" max="12290" width="22.42578125" style="2" customWidth="1"/>
    <col min="12291" max="12291" width="39.42578125" style="2" customWidth="1"/>
    <col min="12292" max="12292" width="20.28515625" style="2" customWidth="1"/>
    <col min="12293" max="12293" width="11.7109375" style="2" customWidth="1"/>
    <col min="12294" max="12294" width="11.5703125" style="2" customWidth="1"/>
    <col min="12295" max="12295" width="10.7109375" style="2" bestFit="1" customWidth="1"/>
    <col min="12296" max="12296" width="10" style="2" customWidth="1"/>
    <col min="12297" max="12297" width="10.5703125" style="2" customWidth="1"/>
    <col min="12298" max="12299" width="7.7109375" style="2" customWidth="1"/>
    <col min="12300" max="12300" width="8.7109375" style="2" customWidth="1"/>
    <col min="12301" max="12302" width="7.7109375" style="2" customWidth="1"/>
    <col min="12303" max="12303" width="9.28515625" style="2" customWidth="1"/>
    <col min="12304" max="12304" width="13.5703125" style="2" customWidth="1"/>
    <col min="12305" max="12305" width="12.7109375" style="2" customWidth="1"/>
    <col min="12306" max="12310" width="0" style="2" hidden="1" customWidth="1"/>
    <col min="12311" max="12545" width="11.42578125" style="2"/>
    <col min="12546" max="12546" width="22.42578125" style="2" customWidth="1"/>
    <col min="12547" max="12547" width="39.42578125" style="2" customWidth="1"/>
    <col min="12548" max="12548" width="20.28515625" style="2" customWidth="1"/>
    <col min="12549" max="12549" width="11.7109375" style="2" customWidth="1"/>
    <col min="12550" max="12550" width="11.5703125" style="2" customWidth="1"/>
    <col min="12551" max="12551" width="10.7109375" style="2" bestFit="1" customWidth="1"/>
    <col min="12552" max="12552" width="10" style="2" customWidth="1"/>
    <col min="12553" max="12553" width="10.5703125" style="2" customWidth="1"/>
    <col min="12554" max="12555" width="7.7109375" style="2" customWidth="1"/>
    <col min="12556" max="12556" width="8.7109375" style="2" customWidth="1"/>
    <col min="12557" max="12558" width="7.7109375" style="2" customWidth="1"/>
    <col min="12559" max="12559" width="9.28515625" style="2" customWidth="1"/>
    <col min="12560" max="12560" width="13.5703125" style="2" customWidth="1"/>
    <col min="12561" max="12561" width="12.7109375" style="2" customWidth="1"/>
    <col min="12562" max="12566" width="0" style="2" hidden="1" customWidth="1"/>
    <col min="12567" max="12801" width="11.42578125" style="2"/>
    <col min="12802" max="12802" width="22.42578125" style="2" customWidth="1"/>
    <col min="12803" max="12803" width="39.42578125" style="2" customWidth="1"/>
    <col min="12804" max="12804" width="20.28515625" style="2" customWidth="1"/>
    <col min="12805" max="12805" width="11.7109375" style="2" customWidth="1"/>
    <col min="12806" max="12806" width="11.5703125" style="2" customWidth="1"/>
    <col min="12807" max="12807" width="10.7109375" style="2" bestFit="1" customWidth="1"/>
    <col min="12808" max="12808" width="10" style="2" customWidth="1"/>
    <col min="12809" max="12809" width="10.5703125" style="2" customWidth="1"/>
    <col min="12810" max="12811" width="7.7109375" style="2" customWidth="1"/>
    <col min="12812" max="12812" width="8.7109375" style="2" customWidth="1"/>
    <col min="12813" max="12814" width="7.7109375" style="2" customWidth="1"/>
    <col min="12815" max="12815" width="9.28515625" style="2" customWidth="1"/>
    <col min="12816" max="12816" width="13.5703125" style="2" customWidth="1"/>
    <col min="12817" max="12817" width="12.7109375" style="2" customWidth="1"/>
    <col min="12818" max="12822" width="0" style="2" hidden="1" customWidth="1"/>
    <col min="12823" max="13057" width="11.42578125" style="2"/>
    <col min="13058" max="13058" width="22.42578125" style="2" customWidth="1"/>
    <col min="13059" max="13059" width="39.42578125" style="2" customWidth="1"/>
    <col min="13060" max="13060" width="20.28515625" style="2" customWidth="1"/>
    <col min="13061" max="13061" width="11.7109375" style="2" customWidth="1"/>
    <col min="13062" max="13062" width="11.5703125" style="2" customWidth="1"/>
    <col min="13063" max="13063" width="10.7109375" style="2" bestFit="1" customWidth="1"/>
    <col min="13064" max="13064" width="10" style="2" customWidth="1"/>
    <col min="13065" max="13065" width="10.5703125" style="2" customWidth="1"/>
    <col min="13066" max="13067" width="7.7109375" style="2" customWidth="1"/>
    <col min="13068" max="13068" width="8.7109375" style="2" customWidth="1"/>
    <col min="13069" max="13070" width="7.7109375" style="2" customWidth="1"/>
    <col min="13071" max="13071" width="9.28515625" style="2" customWidth="1"/>
    <col min="13072" max="13072" width="13.5703125" style="2" customWidth="1"/>
    <col min="13073" max="13073" width="12.7109375" style="2" customWidth="1"/>
    <col min="13074" max="13078" width="0" style="2" hidden="1" customWidth="1"/>
    <col min="13079" max="13313" width="11.42578125" style="2"/>
    <col min="13314" max="13314" width="22.42578125" style="2" customWidth="1"/>
    <col min="13315" max="13315" width="39.42578125" style="2" customWidth="1"/>
    <col min="13316" max="13316" width="20.28515625" style="2" customWidth="1"/>
    <col min="13317" max="13317" width="11.7109375" style="2" customWidth="1"/>
    <col min="13318" max="13318" width="11.5703125" style="2" customWidth="1"/>
    <col min="13319" max="13319" width="10.7109375" style="2" bestFit="1" customWidth="1"/>
    <col min="13320" max="13320" width="10" style="2" customWidth="1"/>
    <col min="13321" max="13321" width="10.5703125" style="2" customWidth="1"/>
    <col min="13322" max="13323" width="7.7109375" style="2" customWidth="1"/>
    <col min="13324" max="13324" width="8.7109375" style="2" customWidth="1"/>
    <col min="13325" max="13326" width="7.7109375" style="2" customWidth="1"/>
    <col min="13327" max="13327" width="9.28515625" style="2" customWidth="1"/>
    <col min="13328" max="13328" width="13.5703125" style="2" customWidth="1"/>
    <col min="13329" max="13329" width="12.7109375" style="2" customWidth="1"/>
    <col min="13330" max="13334" width="0" style="2" hidden="1" customWidth="1"/>
    <col min="13335" max="13569" width="11.42578125" style="2"/>
    <col min="13570" max="13570" width="22.42578125" style="2" customWidth="1"/>
    <col min="13571" max="13571" width="39.42578125" style="2" customWidth="1"/>
    <col min="13572" max="13572" width="20.28515625" style="2" customWidth="1"/>
    <col min="13573" max="13573" width="11.7109375" style="2" customWidth="1"/>
    <col min="13574" max="13574" width="11.5703125" style="2" customWidth="1"/>
    <col min="13575" max="13575" width="10.7109375" style="2" bestFit="1" customWidth="1"/>
    <col min="13576" max="13576" width="10" style="2" customWidth="1"/>
    <col min="13577" max="13577" width="10.5703125" style="2" customWidth="1"/>
    <col min="13578" max="13579" width="7.7109375" style="2" customWidth="1"/>
    <col min="13580" max="13580" width="8.7109375" style="2" customWidth="1"/>
    <col min="13581" max="13582" width="7.7109375" style="2" customWidth="1"/>
    <col min="13583" max="13583" width="9.28515625" style="2" customWidth="1"/>
    <col min="13584" max="13584" width="13.5703125" style="2" customWidth="1"/>
    <col min="13585" max="13585" width="12.7109375" style="2" customWidth="1"/>
    <col min="13586" max="13590" width="0" style="2" hidden="1" customWidth="1"/>
    <col min="13591" max="13825" width="11.42578125" style="2"/>
    <col min="13826" max="13826" width="22.42578125" style="2" customWidth="1"/>
    <col min="13827" max="13827" width="39.42578125" style="2" customWidth="1"/>
    <col min="13828" max="13828" width="20.28515625" style="2" customWidth="1"/>
    <col min="13829" max="13829" width="11.7109375" style="2" customWidth="1"/>
    <col min="13830" max="13830" width="11.5703125" style="2" customWidth="1"/>
    <col min="13831" max="13831" width="10.7109375" style="2" bestFit="1" customWidth="1"/>
    <col min="13832" max="13832" width="10" style="2" customWidth="1"/>
    <col min="13833" max="13833" width="10.5703125" style="2" customWidth="1"/>
    <col min="13834" max="13835" width="7.7109375" style="2" customWidth="1"/>
    <col min="13836" max="13836" width="8.7109375" style="2" customWidth="1"/>
    <col min="13837" max="13838" width="7.7109375" style="2" customWidth="1"/>
    <col min="13839" max="13839" width="9.28515625" style="2" customWidth="1"/>
    <col min="13840" max="13840" width="13.5703125" style="2" customWidth="1"/>
    <col min="13841" max="13841" width="12.7109375" style="2" customWidth="1"/>
    <col min="13842" max="13846" width="0" style="2" hidden="1" customWidth="1"/>
    <col min="13847" max="14081" width="11.42578125" style="2"/>
    <col min="14082" max="14082" width="22.42578125" style="2" customWidth="1"/>
    <col min="14083" max="14083" width="39.42578125" style="2" customWidth="1"/>
    <col min="14084" max="14084" width="20.28515625" style="2" customWidth="1"/>
    <col min="14085" max="14085" width="11.7109375" style="2" customWidth="1"/>
    <col min="14086" max="14086" width="11.5703125" style="2" customWidth="1"/>
    <col min="14087" max="14087" width="10.7109375" style="2" bestFit="1" customWidth="1"/>
    <col min="14088" max="14088" width="10" style="2" customWidth="1"/>
    <col min="14089" max="14089" width="10.5703125" style="2" customWidth="1"/>
    <col min="14090" max="14091" width="7.7109375" style="2" customWidth="1"/>
    <col min="14092" max="14092" width="8.7109375" style="2" customWidth="1"/>
    <col min="14093" max="14094" width="7.7109375" style="2" customWidth="1"/>
    <col min="14095" max="14095" width="9.28515625" style="2" customWidth="1"/>
    <col min="14096" max="14096" width="13.5703125" style="2" customWidth="1"/>
    <col min="14097" max="14097" width="12.7109375" style="2" customWidth="1"/>
    <col min="14098" max="14102" width="0" style="2" hidden="1" customWidth="1"/>
    <col min="14103" max="14337" width="11.42578125" style="2"/>
    <col min="14338" max="14338" width="22.42578125" style="2" customWidth="1"/>
    <col min="14339" max="14339" width="39.42578125" style="2" customWidth="1"/>
    <col min="14340" max="14340" width="20.28515625" style="2" customWidth="1"/>
    <col min="14341" max="14341" width="11.7109375" style="2" customWidth="1"/>
    <col min="14342" max="14342" width="11.5703125" style="2" customWidth="1"/>
    <col min="14343" max="14343" width="10.7109375" style="2" bestFit="1" customWidth="1"/>
    <col min="14344" max="14344" width="10" style="2" customWidth="1"/>
    <col min="14345" max="14345" width="10.5703125" style="2" customWidth="1"/>
    <col min="14346" max="14347" width="7.7109375" style="2" customWidth="1"/>
    <col min="14348" max="14348" width="8.7109375" style="2" customWidth="1"/>
    <col min="14349" max="14350" width="7.7109375" style="2" customWidth="1"/>
    <col min="14351" max="14351" width="9.28515625" style="2" customWidth="1"/>
    <col min="14352" max="14352" width="13.5703125" style="2" customWidth="1"/>
    <col min="14353" max="14353" width="12.7109375" style="2" customWidth="1"/>
    <col min="14354" max="14358" width="0" style="2" hidden="1" customWidth="1"/>
    <col min="14359" max="14593" width="11.42578125" style="2"/>
    <col min="14594" max="14594" width="22.42578125" style="2" customWidth="1"/>
    <col min="14595" max="14595" width="39.42578125" style="2" customWidth="1"/>
    <col min="14596" max="14596" width="20.28515625" style="2" customWidth="1"/>
    <col min="14597" max="14597" width="11.7109375" style="2" customWidth="1"/>
    <col min="14598" max="14598" width="11.5703125" style="2" customWidth="1"/>
    <col min="14599" max="14599" width="10.7109375" style="2" bestFit="1" customWidth="1"/>
    <col min="14600" max="14600" width="10" style="2" customWidth="1"/>
    <col min="14601" max="14601" width="10.5703125" style="2" customWidth="1"/>
    <col min="14602" max="14603" width="7.7109375" style="2" customWidth="1"/>
    <col min="14604" max="14604" width="8.7109375" style="2" customWidth="1"/>
    <col min="14605" max="14606" width="7.7109375" style="2" customWidth="1"/>
    <col min="14607" max="14607" width="9.28515625" style="2" customWidth="1"/>
    <col min="14608" max="14608" width="13.5703125" style="2" customWidth="1"/>
    <col min="14609" max="14609" width="12.7109375" style="2" customWidth="1"/>
    <col min="14610" max="14614" width="0" style="2" hidden="1" customWidth="1"/>
    <col min="14615" max="14849" width="11.42578125" style="2"/>
    <col min="14850" max="14850" width="22.42578125" style="2" customWidth="1"/>
    <col min="14851" max="14851" width="39.42578125" style="2" customWidth="1"/>
    <col min="14852" max="14852" width="20.28515625" style="2" customWidth="1"/>
    <col min="14853" max="14853" width="11.7109375" style="2" customWidth="1"/>
    <col min="14854" max="14854" width="11.5703125" style="2" customWidth="1"/>
    <col min="14855" max="14855" width="10.7109375" style="2" bestFit="1" customWidth="1"/>
    <col min="14856" max="14856" width="10" style="2" customWidth="1"/>
    <col min="14857" max="14857" width="10.5703125" style="2" customWidth="1"/>
    <col min="14858" max="14859" width="7.7109375" style="2" customWidth="1"/>
    <col min="14860" max="14860" width="8.7109375" style="2" customWidth="1"/>
    <col min="14861" max="14862" width="7.7109375" style="2" customWidth="1"/>
    <col min="14863" max="14863" width="9.28515625" style="2" customWidth="1"/>
    <col min="14864" max="14864" width="13.5703125" style="2" customWidth="1"/>
    <col min="14865" max="14865" width="12.7109375" style="2" customWidth="1"/>
    <col min="14866" max="14870" width="0" style="2" hidden="1" customWidth="1"/>
    <col min="14871" max="15105" width="11.42578125" style="2"/>
    <col min="15106" max="15106" width="22.42578125" style="2" customWidth="1"/>
    <col min="15107" max="15107" width="39.42578125" style="2" customWidth="1"/>
    <col min="15108" max="15108" width="20.28515625" style="2" customWidth="1"/>
    <col min="15109" max="15109" width="11.7109375" style="2" customWidth="1"/>
    <col min="15110" max="15110" width="11.5703125" style="2" customWidth="1"/>
    <col min="15111" max="15111" width="10.7109375" style="2" bestFit="1" customWidth="1"/>
    <col min="15112" max="15112" width="10" style="2" customWidth="1"/>
    <col min="15113" max="15113" width="10.5703125" style="2" customWidth="1"/>
    <col min="15114" max="15115" width="7.7109375" style="2" customWidth="1"/>
    <col min="15116" max="15116" width="8.7109375" style="2" customWidth="1"/>
    <col min="15117" max="15118" width="7.7109375" style="2" customWidth="1"/>
    <col min="15119" max="15119" width="9.28515625" style="2" customWidth="1"/>
    <col min="15120" max="15120" width="13.5703125" style="2" customWidth="1"/>
    <col min="15121" max="15121" width="12.7109375" style="2" customWidth="1"/>
    <col min="15122" max="15126" width="0" style="2" hidden="1" customWidth="1"/>
    <col min="15127" max="15361" width="11.42578125" style="2"/>
    <col min="15362" max="15362" width="22.42578125" style="2" customWidth="1"/>
    <col min="15363" max="15363" width="39.42578125" style="2" customWidth="1"/>
    <col min="15364" max="15364" width="20.28515625" style="2" customWidth="1"/>
    <col min="15365" max="15365" width="11.7109375" style="2" customWidth="1"/>
    <col min="15366" max="15366" width="11.5703125" style="2" customWidth="1"/>
    <col min="15367" max="15367" width="10.7109375" style="2" bestFit="1" customWidth="1"/>
    <col min="15368" max="15368" width="10" style="2" customWidth="1"/>
    <col min="15369" max="15369" width="10.5703125" style="2" customWidth="1"/>
    <col min="15370" max="15371" width="7.7109375" style="2" customWidth="1"/>
    <col min="15372" max="15372" width="8.7109375" style="2" customWidth="1"/>
    <col min="15373" max="15374" width="7.7109375" style="2" customWidth="1"/>
    <col min="15375" max="15375" width="9.28515625" style="2" customWidth="1"/>
    <col min="15376" max="15376" width="13.5703125" style="2" customWidth="1"/>
    <col min="15377" max="15377" width="12.7109375" style="2" customWidth="1"/>
    <col min="15378" max="15382" width="0" style="2" hidden="1" customWidth="1"/>
    <col min="15383" max="15617" width="11.42578125" style="2"/>
    <col min="15618" max="15618" width="22.42578125" style="2" customWidth="1"/>
    <col min="15619" max="15619" width="39.42578125" style="2" customWidth="1"/>
    <col min="15620" max="15620" width="20.28515625" style="2" customWidth="1"/>
    <col min="15621" max="15621" width="11.7109375" style="2" customWidth="1"/>
    <col min="15622" max="15622" width="11.5703125" style="2" customWidth="1"/>
    <col min="15623" max="15623" width="10.7109375" style="2" bestFit="1" customWidth="1"/>
    <col min="15624" max="15624" width="10" style="2" customWidth="1"/>
    <col min="15625" max="15625" width="10.5703125" style="2" customWidth="1"/>
    <col min="15626" max="15627" width="7.7109375" style="2" customWidth="1"/>
    <col min="15628" max="15628" width="8.7109375" style="2" customWidth="1"/>
    <col min="15629" max="15630" width="7.7109375" style="2" customWidth="1"/>
    <col min="15631" max="15631" width="9.28515625" style="2" customWidth="1"/>
    <col min="15632" max="15632" width="13.5703125" style="2" customWidth="1"/>
    <col min="15633" max="15633" width="12.7109375" style="2" customWidth="1"/>
    <col min="15634" max="15638" width="0" style="2" hidden="1" customWidth="1"/>
    <col min="15639" max="15873" width="11.42578125" style="2"/>
    <col min="15874" max="15874" width="22.42578125" style="2" customWidth="1"/>
    <col min="15875" max="15875" width="39.42578125" style="2" customWidth="1"/>
    <col min="15876" max="15876" width="20.28515625" style="2" customWidth="1"/>
    <col min="15877" max="15877" width="11.7109375" style="2" customWidth="1"/>
    <col min="15878" max="15878" width="11.5703125" style="2" customWidth="1"/>
    <col min="15879" max="15879" width="10.7109375" style="2" bestFit="1" customWidth="1"/>
    <col min="15880" max="15880" width="10" style="2" customWidth="1"/>
    <col min="15881" max="15881" width="10.5703125" style="2" customWidth="1"/>
    <col min="15882" max="15883" width="7.7109375" style="2" customWidth="1"/>
    <col min="15884" max="15884" width="8.7109375" style="2" customWidth="1"/>
    <col min="15885" max="15886" width="7.7109375" style="2" customWidth="1"/>
    <col min="15887" max="15887" width="9.28515625" style="2" customWidth="1"/>
    <col min="15888" max="15888" width="13.5703125" style="2" customWidth="1"/>
    <col min="15889" max="15889" width="12.7109375" style="2" customWidth="1"/>
    <col min="15890" max="15894" width="0" style="2" hidden="1" customWidth="1"/>
    <col min="15895" max="16129" width="11.42578125" style="2"/>
    <col min="16130" max="16130" width="22.42578125" style="2" customWidth="1"/>
    <col min="16131" max="16131" width="39.42578125" style="2" customWidth="1"/>
    <col min="16132" max="16132" width="20.28515625" style="2" customWidth="1"/>
    <col min="16133" max="16133" width="11.7109375" style="2" customWidth="1"/>
    <col min="16134" max="16134" width="11.5703125" style="2" customWidth="1"/>
    <col min="16135" max="16135" width="10.7109375" style="2" bestFit="1" customWidth="1"/>
    <col min="16136" max="16136" width="10" style="2" customWidth="1"/>
    <col min="16137" max="16137" width="10.5703125" style="2" customWidth="1"/>
    <col min="16138" max="16139" width="7.7109375" style="2" customWidth="1"/>
    <col min="16140" max="16140" width="8.7109375" style="2" customWidth="1"/>
    <col min="16141" max="16142" width="7.7109375" style="2" customWidth="1"/>
    <col min="16143" max="16143" width="9.28515625" style="2" customWidth="1"/>
    <col min="16144" max="16144" width="13.5703125" style="2" customWidth="1"/>
    <col min="16145" max="16145" width="12.7109375" style="2" customWidth="1"/>
    <col min="16146" max="16150" width="0" style="2" hidden="1" customWidth="1"/>
    <col min="16151" max="16384" width="11.42578125" style="2"/>
  </cols>
  <sheetData>
    <row r="1" spans="1:23" ht="13.5" thickBot="1" x14ac:dyDescent="0.25"/>
    <row r="2" spans="1:23" ht="14.25" customHeight="1" x14ac:dyDescent="0.2">
      <c r="A2" s="1945" t="s">
        <v>0</v>
      </c>
      <c r="B2" s="1948" t="s">
        <v>344</v>
      </c>
      <c r="C2" s="1948" t="s">
        <v>345</v>
      </c>
      <c r="D2" s="1552"/>
      <c r="E2" s="1952" t="s">
        <v>1</v>
      </c>
      <c r="F2" s="1952"/>
      <c r="G2" s="1952"/>
      <c r="H2" s="1952"/>
      <c r="I2" s="1952"/>
      <c r="J2" s="1952"/>
      <c r="K2" s="1952"/>
      <c r="L2" s="1952"/>
      <c r="M2" s="1952"/>
      <c r="N2" s="1952"/>
      <c r="O2" s="1952"/>
      <c r="P2" s="1952"/>
      <c r="Q2" s="1953" t="s">
        <v>1191</v>
      </c>
      <c r="R2" s="1955" t="s">
        <v>2</v>
      </c>
      <c r="S2" s="1955" t="s">
        <v>3</v>
      </c>
      <c r="T2" s="1958"/>
      <c r="U2" s="1953" t="s">
        <v>4</v>
      </c>
      <c r="V2" s="1960" t="s">
        <v>1190</v>
      </c>
    </row>
    <row r="3" spans="1:23" ht="19.5" customHeight="1" x14ac:dyDescent="0.2">
      <c r="A3" s="1946"/>
      <c r="B3" s="1949"/>
      <c r="C3" s="1949"/>
      <c r="D3" s="1553"/>
      <c r="E3" s="1957" t="s">
        <v>981</v>
      </c>
      <c r="F3" s="1957"/>
      <c r="G3" s="1957"/>
      <c r="H3" s="1957"/>
      <c r="I3" s="1957"/>
      <c r="J3" s="1957"/>
      <c r="K3" s="1957"/>
      <c r="L3" s="1957"/>
      <c r="M3" s="1957"/>
      <c r="N3" s="1957"/>
      <c r="O3" s="1957"/>
      <c r="P3" s="1957"/>
      <c r="Q3" s="1832"/>
      <c r="R3" s="1835"/>
      <c r="S3" s="1835"/>
      <c r="T3" s="1838"/>
      <c r="U3" s="1832"/>
      <c r="V3" s="1961"/>
    </row>
    <row r="4" spans="1:23" ht="19.5" customHeight="1" x14ac:dyDescent="0.2">
      <c r="A4" s="1946"/>
      <c r="B4" s="1950"/>
      <c r="C4" s="1950"/>
      <c r="D4" s="1963" t="s">
        <v>5</v>
      </c>
      <c r="E4" s="1957" t="s">
        <v>6</v>
      </c>
      <c r="F4" s="1957"/>
      <c r="G4" s="1957"/>
      <c r="H4" s="1957"/>
      <c r="I4" s="1957"/>
      <c r="J4" s="1957"/>
      <c r="K4" s="1957" t="s">
        <v>7</v>
      </c>
      <c r="L4" s="1957"/>
      <c r="M4" s="1957"/>
      <c r="N4" s="1957"/>
      <c r="O4" s="1957"/>
      <c r="P4" s="1957"/>
      <c r="Q4" s="1832" t="s">
        <v>8</v>
      </c>
      <c r="R4" s="1835"/>
      <c r="S4" s="1835"/>
      <c r="T4" s="1838"/>
      <c r="U4" s="1832"/>
      <c r="V4" s="1961"/>
    </row>
    <row r="5" spans="1:23" ht="21.75" customHeight="1" x14ac:dyDescent="0.2">
      <c r="A5" s="1946"/>
      <c r="B5" s="1950"/>
      <c r="C5" s="1950"/>
      <c r="D5" s="1964"/>
      <c r="E5" s="1957" t="s">
        <v>9</v>
      </c>
      <c r="F5" s="1957"/>
      <c r="G5" s="1957"/>
      <c r="H5" s="1957" t="s">
        <v>10</v>
      </c>
      <c r="I5" s="1957"/>
      <c r="J5" s="1957"/>
      <c r="K5" s="1957" t="s">
        <v>11</v>
      </c>
      <c r="L5" s="1957"/>
      <c r="M5" s="1957"/>
      <c r="N5" s="1957" t="s">
        <v>12</v>
      </c>
      <c r="O5" s="1957"/>
      <c r="P5" s="1957"/>
      <c r="Q5" s="1832"/>
      <c r="R5" s="1835"/>
      <c r="S5" s="1835"/>
      <c r="T5" s="1838"/>
      <c r="U5" s="1832"/>
      <c r="V5" s="1961"/>
    </row>
    <row r="6" spans="1:23" ht="36.75" customHeight="1" thickBot="1" x14ac:dyDescent="0.25">
      <c r="A6" s="1947"/>
      <c r="B6" s="1951"/>
      <c r="C6" s="1951"/>
      <c r="D6" s="1965"/>
      <c r="E6" s="1554" t="s">
        <v>13</v>
      </c>
      <c r="F6" s="1554" t="s">
        <v>14</v>
      </c>
      <c r="G6" s="1554" t="s">
        <v>15</v>
      </c>
      <c r="H6" s="1554" t="s">
        <v>16</v>
      </c>
      <c r="I6" s="1554" t="s">
        <v>17</v>
      </c>
      <c r="J6" s="1554" t="s">
        <v>18</v>
      </c>
      <c r="K6" s="1554" t="s">
        <v>19</v>
      </c>
      <c r="L6" s="1554" t="s">
        <v>20</v>
      </c>
      <c r="M6" s="1554" t="s">
        <v>21</v>
      </c>
      <c r="N6" s="1554" t="s">
        <v>22</v>
      </c>
      <c r="O6" s="1554" t="s">
        <v>23</v>
      </c>
      <c r="P6" s="1554" t="s">
        <v>24</v>
      </c>
      <c r="Q6" s="1954"/>
      <c r="R6" s="1956"/>
      <c r="S6" s="1956"/>
      <c r="T6" s="1959"/>
      <c r="U6" s="1954"/>
      <c r="V6" s="1962"/>
    </row>
    <row r="7" spans="1:23" ht="66.75" hidden="1" customHeight="1" x14ac:dyDescent="0.2">
      <c r="A7" s="1966" t="s">
        <v>25</v>
      </c>
      <c r="B7" s="1555" t="s">
        <v>346</v>
      </c>
      <c r="C7" s="1398" t="s">
        <v>347</v>
      </c>
      <c r="D7" s="1556">
        <v>0.8</v>
      </c>
      <c r="E7" s="1770"/>
      <c r="F7" s="1770"/>
      <c r="G7" s="1770"/>
      <c r="H7" s="1770"/>
      <c r="I7" s="1770"/>
      <c r="J7" s="1770"/>
      <c r="K7" s="1770"/>
      <c r="L7" s="1770"/>
      <c r="M7" s="1770"/>
      <c r="N7" s="1770"/>
      <c r="O7" s="1770"/>
      <c r="P7" s="1770"/>
      <c r="Q7" s="1276" t="e">
        <f>AVERAGE(E7:P7)</f>
        <v>#DIV/0!</v>
      </c>
      <c r="R7" s="1557" t="s">
        <v>27</v>
      </c>
      <c r="S7" s="1277" t="s">
        <v>28</v>
      </c>
      <c r="T7" s="1278"/>
      <c r="U7" s="1279">
        <v>1</v>
      </c>
      <c r="V7" s="1280"/>
    </row>
    <row r="8" spans="1:23" ht="102.75" customHeight="1" x14ac:dyDescent="0.2">
      <c r="A8" s="1967"/>
      <c r="B8" s="703" t="s">
        <v>1321</v>
      </c>
      <c r="C8" s="1377" t="s">
        <v>348</v>
      </c>
      <c r="D8" s="1558">
        <v>0.98</v>
      </c>
      <c r="E8" s="1747">
        <f>1476/1481</f>
        <v>0.99662390276839974</v>
      </c>
      <c r="F8" s="1747"/>
      <c r="G8" s="1747"/>
      <c r="H8" s="1747"/>
      <c r="I8" s="1747"/>
      <c r="J8" s="1747"/>
      <c r="K8" s="1747">
        <f>1064/1072</f>
        <v>0.9925373134328358</v>
      </c>
      <c r="L8" s="1747"/>
      <c r="M8" s="1747"/>
      <c r="N8" s="1747"/>
      <c r="O8" s="1747"/>
      <c r="P8" s="1747"/>
      <c r="Q8" s="1275">
        <f>IF(AND((E8=0),(K8=0)),"ND",AVERAGE(E8:P8))</f>
        <v>0.99458060810061777</v>
      </c>
      <c r="R8" s="314" t="s">
        <v>27</v>
      </c>
      <c r="S8" s="315" t="s">
        <v>29</v>
      </c>
      <c r="T8" s="316"/>
      <c r="U8" s="317">
        <v>1</v>
      </c>
      <c r="V8" s="1281">
        <v>1</v>
      </c>
      <c r="W8" s="1559"/>
    </row>
    <row r="9" spans="1:23" ht="73.5" customHeight="1" x14ac:dyDescent="0.2">
      <c r="A9" s="1967"/>
      <c r="B9" s="702" t="s">
        <v>854</v>
      </c>
      <c r="C9" s="1377" t="s">
        <v>349</v>
      </c>
      <c r="D9" s="1558">
        <v>0.9</v>
      </c>
      <c r="E9" s="1747">
        <f>241/248</f>
        <v>0.97177419354838712</v>
      </c>
      <c r="F9" s="1747"/>
      <c r="G9" s="1747"/>
      <c r="H9" s="1747"/>
      <c r="I9" s="1747"/>
      <c r="J9" s="1747"/>
      <c r="K9" s="1747">
        <f>252/258</f>
        <v>0.97674418604651159</v>
      </c>
      <c r="L9" s="1747"/>
      <c r="M9" s="1747"/>
      <c r="N9" s="1747"/>
      <c r="O9" s="1747"/>
      <c r="P9" s="1747"/>
      <c r="Q9" s="1275">
        <f t="shared" ref="Q9:Q17" si="0">IF(AND((E9=0),(K9=0)),"ND",AVERAGE(E9:P9))</f>
        <v>0.9742591897974493</v>
      </c>
      <c r="R9" s="314" t="s">
        <v>27</v>
      </c>
      <c r="S9" s="463" t="s">
        <v>6</v>
      </c>
      <c r="T9" s="316"/>
      <c r="U9" s="317">
        <v>1</v>
      </c>
      <c r="V9" s="1281">
        <v>1</v>
      </c>
    </row>
    <row r="10" spans="1:23" ht="110.25" customHeight="1" thickBot="1" x14ac:dyDescent="0.25">
      <c r="A10" s="1968"/>
      <c r="B10" s="1560" t="s">
        <v>1322</v>
      </c>
      <c r="C10" s="1544" t="s">
        <v>350</v>
      </c>
      <c r="D10" s="1561">
        <v>0.98</v>
      </c>
      <c r="E10" s="1969">
        <f>1475/1481</f>
        <v>0.99594868332207964</v>
      </c>
      <c r="F10" s="1969"/>
      <c r="G10" s="1969"/>
      <c r="H10" s="1969"/>
      <c r="I10" s="1969"/>
      <c r="J10" s="1969"/>
      <c r="K10" s="1969">
        <f>1066/1072</f>
        <v>0.99440298507462688</v>
      </c>
      <c r="L10" s="1969"/>
      <c r="M10" s="1969"/>
      <c r="N10" s="1969"/>
      <c r="O10" s="1969"/>
      <c r="P10" s="1969"/>
      <c r="Q10" s="1562">
        <f t="shared" si="0"/>
        <v>0.9951758341983532</v>
      </c>
      <c r="R10" s="1563"/>
      <c r="S10" s="1564"/>
      <c r="T10" s="1283"/>
      <c r="U10" s="1284">
        <v>1</v>
      </c>
      <c r="V10" s="1285">
        <v>1</v>
      </c>
    </row>
    <row r="11" spans="1:23" ht="18" hidden="1" customHeight="1" x14ac:dyDescent="0.2">
      <c r="A11" s="1976" t="s">
        <v>34</v>
      </c>
      <c r="B11" s="1565" t="s">
        <v>351</v>
      </c>
      <c r="C11" s="1398"/>
      <c r="D11" s="1566">
        <v>0.7</v>
      </c>
      <c r="E11" s="1979"/>
      <c r="F11" s="1979"/>
      <c r="G11" s="1979"/>
      <c r="H11" s="1979"/>
      <c r="I11" s="1979"/>
      <c r="J11" s="1979"/>
      <c r="K11" s="1979"/>
      <c r="L11" s="1979"/>
      <c r="M11" s="1979"/>
      <c r="N11" s="1979"/>
      <c r="O11" s="1979"/>
      <c r="P11" s="1979"/>
      <c r="Q11" s="1276" t="str">
        <f t="shared" si="0"/>
        <v>ND</v>
      </c>
      <c r="R11" s="1557" t="s">
        <v>27</v>
      </c>
      <c r="S11" s="16" t="s">
        <v>13</v>
      </c>
      <c r="T11" s="1278"/>
      <c r="U11" s="1279">
        <v>1</v>
      </c>
      <c r="V11" s="1280"/>
    </row>
    <row r="12" spans="1:23" ht="21.75" hidden="1" customHeight="1" x14ac:dyDescent="0.2">
      <c r="A12" s="1977"/>
      <c r="B12" s="1378" t="s">
        <v>352</v>
      </c>
      <c r="C12" s="1377"/>
      <c r="D12" s="709">
        <v>0.1</v>
      </c>
      <c r="E12" s="1980"/>
      <c r="F12" s="1980"/>
      <c r="G12" s="1980"/>
      <c r="H12" s="1980"/>
      <c r="I12" s="1980"/>
      <c r="J12" s="1980"/>
      <c r="K12" s="1980"/>
      <c r="L12" s="1980"/>
      <c r="M12" s="1980"/>
      <c r="N12" s="1980"/>
      <c r="O12" s="1980"/>
      <c r="P12" s="1980"/>
      <c r="Q12" s="1275" t="str">
        <f t="shared" si="0"/>
        <v>ND</v>
      </c>
      <c r="R12" s="314"/>
      <c r="S12" s="315"/>
      <c r="T12" s="316"/>
      <c r="U12" s="317"/>
      <c r="V12" s="1281"/>
    </row>
    <row r="13" spans="1:23" ht="30.75" hidden="1" customHeight="1" x14ac:dyDescent="0.2">
      <c r="A13" s="1977"/>
      <c r="B13" s="1378" t="s">
        <v>353</v>
      </c>
      <c r="C13" s="1377"/>
      <c r="D13" s="709">
        <v>0.2</v>
      </c>
      <c r="E13" s="1980"/>
      <c r="F13" s="1980"/>
      <c r="G13" s="1980"/>
      <c r="H13" s="1980"/>
      <c r="I13" s="1980"/>
      <c r="J13" s="1980"/>
      <c r="K13" s="1980"/>
      <c r="L13" s="1980"/>
      <c r="M13" s="1980"/>
      <c r="N13" s="1980"/>
      <c r="O13" s="1980"/>
      <c r="P13" s="1980"/>
      <c r="Q13" s="1275" t="str">
        <f t="shared" si="0"/>
        <v>ND</v>
      </c>
      <c r="R13" s="314"/>
      <c r="S13" s="315"/>
      <c r="T13" s="316"/>
      <c r="U13" s="317"/>
      <c r="V13" s="1281"/>
    </row>
    <row r="14" spans="1:23" ht="81.75" customHeight="1" x14ac:dyDescent="0.2">
      <c r="A14" s="1977"/>
      <c r="B14" s="706" t="s">
        <v>855</v>
      </c>
      <c r="C14" s="1377" t="s">
        <v>354</v>
      </c>
      <c r="D14" s="1567">
        <v>0.8</v>
      </c>
      <c r="E14" s="1747">
        <f>438/515</f>
        <v>0.85048543689320388</v>
      </c>
      <c r="F14" s="1747"/>
      <c r="G14" s="1747"/>
      <c r="H14" s="1747"/>
      <c r="I14" s="1747"/>
      <c r="J14" s="1747"/>
      <c r="K14" s="1747">
        <f>345/423</f>
        <v>0.81560283687943258</v>
      </c>
      <c r="L14" s="1747"/>
      <c r="M14" s="1747"/>
      <c r="N14" s="1747"/>
      <c r="O14" s="1747"/>
      <c r="P14" s="1747"/>
      <c r="Q14" s="1275">
        <f t="shared" si="0"/>
        <v>0.83304413688631818</v>
      </c>
      <c r="R14" s="314"/>
      <c r="S14" s="315"/>
      <c r="T14" s="316"/>
      <c r="U14" s="317"/>
      <c r="V14" s="1281">
        <v>1</v>
      </c>
    </row>
    <row r="15" spans="1:23" ht="84.75" customHeight="1" thickBot="1" x14ac:dyDescent="0.25">
      <c r="A15" s="1978"/>
      <c r="B15" s="179" t="s">
        <v>982</v>
      </c>
      <c r="C15" s="179" t="s">
        <v>355</v>
      </c>
      <c r="D15" s="1568">
        <v>0.8</v>
      </c>
      <c r="E15" s="1969">
        <f>252/258</f>
        <v>0.97674418604651159</v>
      </c>
      <c r="F15" s="1969"/>
      <c r="G15" s="1969"/>
      <c r="H15" s="1969"/>
      <c r="I15" s="1969"/>
      <c r="J15" s="1969"/>
      <c r="K15" s="1969">
        <f>259/260</f>
        <v>0.99615384615384617</v>
      </c>
      <c r="L15" s="1969"/>
      <c r="M15" s="1969"/>
      <c r="N15" s="1969"/>
      <c r="O15" s="1969"/>
      <c r="P15" s="1969"/>
      <c r="Q15" s="1562">
        <f t="shared" si="0"/>
        <v>0.98644901610017888</v>
      </c>
      <c r="R15" s="1563"/>
      <c r="S15" s="17"/>
      <c r="T15" s="1283"/>
      <c r="U15" s="1284"/>
      <c r="V15" s="1285">
        <v>1</v>
      </c>
    </row>
    <row r="16" spans="1:23" ht="112.5" customHeight="1" x14ac:dyDescent="0.2">
      <c r="A16" s="1970" t="s">
        <v>35</v>
      </c>
      <c r="B16" s="1569" t="s">
        <v>983</v>
      </c>
      <c r="C16" s="1398" t="s">
        <v>601</v>
      </c>
      <c r="D16" s="1570">
        <v>0.8</v>
      </c>
      <c r="E16" s="1973">
        <f>124/124</f>
        <v>1</v>
      </c>
      <c r="F16" s="1973"/>
      <c r="G16" s="1973"/>
      <c r="H16" s="1973"/>
      <c r="I16" s="1973"/>
      <c r="J16" s="1973"/>
      <c r="K16" s="1973">
        <f>132/132</f>
        <v>1</v>
      </c>
      <c r="L16" s="1973"/>
      <c r="M16" s="1973"/>
      <c r="N16" s="1973"/>
      <c r="O16" s="1973"/>
      <c r="P16" s="1973"/>
      <c r="Q16" s="1276">
        <f t="shared" si="0"/>
        <v>1</v>
      </c>
      <c r="R16" s="1557" t="s">
        <v>27</v>
      </c>
      <c r="S16" s="16"/>
      <c r="T16" s="1278"/>
      <c r="U16" s="1279">
        <v>1</v>
      </c>
      <c r="V16" s="1280">
        <v>1</v>
      </c>
    </row>
    <row r="17" spans="1:24" ht="96.75" customHeight="1" x14ac:dyDescent="0.2">
      <c r="A17" s="1971"/>
      <c r="B17" s="706" t="s">
        <v>1323</v>
      </c>
      <c r="C17" s="1377" t="s">
        <v>357</v>
      </c>
      <c r="D17" s="1571">
        <v>0.9</v>
      </c>
      <c r="E17" s="1572">
        <f>348/348</f>
        <v>1</v>
      </c>
      <c r="F17" s="1572">
        <f>329/329</f>
        <v>1</v>
      </c>
      <c r="G17" s="1572">
        <f>364/364</f>
        <v>1</v>
      </c>
      <c r="H17" s="1572">
        <f>318/318</f>
        <v>1</v>
      </c>
      <c r="I17" s="1572">
        <f>415/415</f>
        <v>1</v>
      </c>
      <c r="J17" s="1572">
        <f>396/396</f>
        <v>1</v>
      </c>
      <c r="K17" s="1572">
        <f>325/325</f>
        <v>1</v>
      </c>
      <c r="L17" s="1572">
        <f>228/228</f>
        <v>1</v>
      </c>
      <c r="M17" s="1572">
        <f>347/347</f>
        <v>1</v>
      </c>
      <c r="N17" s="1572">
        <f>308/308</f>
        <v>1</v>
      </c>
      <c r="O17" s="1572">
        <f>349/349</f>
        <v>1</v>
      </c>
      <c r="P17" s="1572">
        <f>315/315</f>
        <v>1</v>
      </c>
      <c r="Q17" s="1275">
        <f t="shared" si="0"/>
        <v>1</v>
      </c>
      <c r="R17" s="367" t="s">
        <v>27</v>
      </c>
      <c r="S17" s="368"/>
      <c r="T17" s="316"/>
      <c r="U17" s="317">
        <v>1</v>
      </c>
      <c r="V17" s="1281">
        <v>1</v>
      </c>
    </row>
    <row r="18" spans="1:24" ht="21.75" customHeight="1" thickBot="1" x14ac:dyDescent="0.25">
      <c r="A18" s="1972"/>
      <c r="B18" s="1974" t="s">
        <v>53</v>
      </c>
      <c r="C18" s="1974"/>
      <c r="D18" s="1974"/>
      <c r="E18" s="1975">
        <f>AVERAGE(E17:J17)</f>
        <v>1</v>
      </c>
      <c r="F18" s="1975"/>
      <c r="G18" s="1975"/>
      <c r="H18" s="1975"/>
      <c r="I18" s="1975"/>
      <c r="J18" s="1975"/>
      <c r="K18" s="1975">
        <f>AVERAGE(K17:P17)</f>
        <v>1</v>
      </c>
      <c r="L18" s="1975"/>
      <c r="M18" s="1975"/>
      <c r="N18" s="1975"/>
      <c r="O18" s="1975"/>
      <c r="P18" s="1975"/>
      <c r="Q18" s="1573"/>
      <c r="R18" s="1563"/>
      <c r="S18" s="17"/>
      <c r="T18" s="1283"/>
      <c r="U18" s="1284"/>
      <c r="V18" s="1285"/>
    </row>
    <row r="19" spans="1:24" ht="53.25" hidden="1" customHeight="1" x14ac:dyDescent="0.2">
      <c r="A19" s="1981" t="s">
        <v>36</v>
      </c>
      <c r="B19" s="1565" t="s">
        <v>37</v>
      </c>
      <c r="C19" s="1574" t="s">
        <v>358</v>
      </c>
      <c r="D19" s="1575" t="s">
        <v>38</v>
      </c>
      <c r="E19" s="1973"/>
      <c r="F19" s="1973"/>
      <c r="G19" s="1973"/>
      <c r="H19" s="1973"/>
      <c r="I19" s="1973"/>
      <c r="J19" s="1973"/>
      <c r="K19" s="1973"/>
      <c r="L19" s="1973"/>
      <c r="M19" s="1973"/>
      <c r="N19" s="1973"/>
      <c r="O19" s="1973"/>
      <c r="P19" s="1973"/>
      <c r="Q19" s="1576" t="e">
        <f>AVERAGE(E19:P19)</f>
        <v>#DIV/0!</v>
      </c>
      <c r="R19" s="1557" t="s">
        <v>27</v>
      </c>
      <c r="S19" s="15"/>
      <c r="T19" s="1577"/>
      <c r="U19" s="1279">
        <v>1</v>
      </c>
      <c r="V19" s="1280"/>
    </row>
    <row r="20" spans="1:24" ht="87" customHeight="1" x14ac:dyDescent="0.2">
      <c r="A20" s="1982"/>
      <c r="B20" s="711" t="s">
        <v>1324</v>
      </c>
      <c r="C20" s="1377" t="s">
        <v>1325</v>
      </c>
      <c r="D20" s="1578" t="s">
        <v>626</v>
      </c>
      <c r="E20" s="1747">
        <v>2.5700000000000001E-2</v>
      </c>
      <c r="F20" s="1747"/>
      <c r="G20" s="1747"/>
      <c r="H20" s="1747"/>
      <c r="I20" s="1747"/>
      <c r="J20" s="1747"/>
      <c r="K20" s="1747"/>
      <c r="L20" s="1747"/>
      <c r="M20" s="1747"/>
      <c r="N20" s="1747"/>
      <c r="O20" s="1747"/>
      <c r="P20" s="1747"/>
      <c r="Q20" s="1275">
        <f t="shared" ref="Q20:S68" si="1">IF(AND((E20=0),(K20=0)),"ND",AVERAGE(E20:P20))</f>
        <v>2.5700000000000001E-2</v>
      </c>
      <c r="R20" s="1579" t="str">
        <f t="shared" si="1"/>
        <v>ND</v>
      </c>
      <c r="S20" s="6" t="str">
        <f t="shared" si="1"/>
        <v>ND</v>
      </c>
      <c r="T20" s="661"/>
      <c r="U20" s="317">
        <v>1</v>
      </c>
      <c r="V20" s="1281">
        <v>1</v>
      </c>
    </row>
    <row r="21" spans="1:24" ht="57" customHeight="1" x14ac:dyDescent="0.2">
      <c r="A21" s="1982"/>
      <c r="B21" s="1358" t="s">
        <v>1326</v>
      </c>
      <c r="C21" s="1377" t="s">
        <v>616</v>
      </c>
      <c r="D21" s="1580">
        <v>10</v>
      </c>
      <c r="E21" s="1747">
        <v>0.1205</v>
      </c>
      <c r="F21" s="1747"/>
      <c r="G21" s="1747"/>
      <c r="H21" s="1747"/>
      <c r="I21" s="1747"/>
      <c r="J21" s="1747"/>
      <c r="K21" s="1747"/>
      <c r="L21" s="1747"/>
      <c r="M21" s="1747"/>
      <c r="N21" s="1747"/>
      <c r="O21" s="1747"/>
      <c r="P21" s="1747"/>
      <c r="Q21" s="1275">
        <f t="shared" si="1"/>
        <v>0.1205</v>
      </c>
      <c r="R21" s="1579" t="str">
        <f t="shared" si="1"/>
        <v>ND</v>
      </c>
      <c r="S21" s="6" t="str">
        <f t="shared" si="1"/>
        <v>ND</v>
      </c>
      <c r="T21" s="661"/>
      <c r="U21" s="317">
        <v>1</v>
      </c>
      <c r="V21" s="1281">
        <v>1</v>
      </c>
    </row>
    <row r="22" spans="1:24" ht="41.25" customHeight="1" x14ac:dyDescent="0.2">
      <c r="A22" s="1982"/>
      <c r="B22" s="1814" t="s">
        <v>1327</v>
      </c>
      <c r="C22" s="1984" t="s">
        <v>420</v>
      </c>
      <c r="D22" s="837">
        <v>0.01</v>
      </c>
      <c r="E22" s="1747">
        <f>27/39233</f>
        <v>6.8819616139474422E-4</v>
      </c>
      <c r="F22" s="1747"/>
      <c r="G22" s="1747"/>
      <c r="H22" s="1747"/>
      <c r="I22" s="1747"/>
      <c r="J22" s="1747"/>
      <c r="K22" s="1747"/>
      <c r="L22" s="1747"/>
      <c r="M22" s="1747"/>
      <c r="N22" s="1747"/>
      <c r="O22" s="1747"/>
      <c r="P22" s="1747"/>
      <c r="Q22" s="1275">
        <f t="shared" si="1"/>
        <v>6.8819616139474422E-4</v>
      </c>
      <c r="R22" s="1579" t="str">
        <f t="shared" si="1"/>
        <v>ND</v>
      </c>
      <c r="S22" s="6" t="str">
        <f t="shared" si="1"/>
        <v>ND</v>
      </c>
      <c r="T22" s="661"/>
      <c r="U22" s="317">
        <v>1</v>
      </c>
      <c r="V22" s="1281">
        <v>1</v>
      </c>
    </row>
    <row r="23" spans="1:24" ht="28.5" hidden="1" customHeight="1" x14ac:dyDescent="0.2">
      <c r="A23" s="1982"/>
      <c r="B23" s="1814"/>
      <c r="C23" s="1984"/>
      <c r="D23" s="838" t="s">
        <v>39</v>
      </c>
      <c r="E23" s="1830"/>
      <c r="F23" s="1830"/>
      <c r="G23" s="1830"/>
      <c r="H23" s="1830"/>
      <c r="I23" s="1830"/>
      <c r="J23" s="1830"/>
      <c r="K23" s="1830"/>
      <c r="L23" s="1830"/>
      <c r="M23" s="1830"/>
      <c r="N23" s="1830"/>
      <c r="O23" s="1830"/>
      <c r="P23" s="1830"/>
      <c r="Q23" s="1275" t="str">
        <f t="shared" si="1"/>
        <v>ND</v>
      </c>
      <c r="R23" s="1579" t="str">
        <f t="shared" si="1"/>
        <v>ND</v>
      </c>
      <c r="S23" s="6" t="str">
        <f t="shared" si="1"/>
        <v>ND</v>
      </c>
      <c r="T23" s="661"/>
      <c r="U23" s="317"/>
      <c r="V23" s="1281"/>
    </row>
    <row r="24" spans="1:24" ht="59.25" customHeight="1" x14ac:dyDescent="0.2">
      <c r="A24" s="1982"/>
      <c r="B24" s="1519" t="s">
        <v>859</v>
      </c>
      <c r="C24" s="1377" t="s">
        <v>359</v>
      </c>
      <c r="D24" s="837">
        <v>0.8</v>
      </c>
      <c r="E24" s="1747">
        <f>451/461</f>
        <v>0.97830802603036882</v>
      </c>
      <c r="F24" s="1747"/>
      <c r="G24" s="1747"/>
      <c r="H24" s="1747"/>
      <c r="I24" s="1747"/>
      <c r="J24" s="1747"/>
      <c r="K24" s="1747">
        <f>461/546</f>
        <v>0.84432234432234432</v>
      </c>
      <c r="L24" s="1747"/>
      <c r="M24" s="1747"/>
      <c r="N24" s="1747"/>
      <c r="O24" s="1747"/>
      <c r="P24" s="1747"/>
      <c r="Q24" s="1275">
        <f t="shared" si="1"/>
        <v>0.91131518517635657</v>
      </c>
      <c r="R24" s="1579" t="str">
        <f t="shared" si="1"/>
        <v>ND</v>
      </c>
      <c r="S24" s="6" t="str">
        <f t="shared" si="1"/>
        <v>ND</v>
      </c>
      <c r="T24" s="661"/>
      <c r="U24" s="317">
        <v>1</v>
      </c>
      <c r="V24" s="1281">
        <v>1</v>
      </c>
      <c r="X24" s="2">
        <f>8000+225+124</f>
        <v>8349</v>
      </c>
    </row>
    <row r="25" spans="1:24" ht="37.5" hidden="1" customHeight="1" thickBot="1" x14ac:dyDescent="0.25">
      <c r="A25" s="1982"/>
      <c r="B25" s="1581" t="s">
        <v>395</v>
      </c>
      <c r="C25" s="1377" t="s">
        <v>360</v>
      </c>
      <c r="D25" s="1582">
        <v>1</v>
      </c>
      <c r="E25" s="1829"/>
      <c r="F25" s="1829"/>
      <c r="G25" s="1829"/>
      <c r="H25" s="1829"/>
      <c r="I25" s="1829"/>
      <c r="J25" s="1829"/>
      <c r="K25" s="1829"/>
      <c r="L25" s="1829"/>
      <c r="M25" s="1829"/>
      <c r="N25" s="1829"/>
      <c r="O25" s="1829"/>
      <c r="P25" s="1829"/>
      <c r="Q25" s="1275" t="str">
        <f t="shared" si="1"/>
        <v>ND</v>
      </c>
      <c r="R25" s="1563" t="s">
        <v>26</v>
      </c>
      <c r="S25" s="1517" t="s">
        <v>41</v>
      </c>
      <c r="T25" s="661"/>
      <c r="U25" s="317">
        <v>1</v>
      </c>
      <c r="V25" s="1281"/>
    </row>
    <row r="26" spans="1:24" ht="52.5" customHeight="1" x14ac:dyDescent="0.2">
      <c r="A26" s="1982"/>
      <c r="B26" s="1519" t="s">
        <v>788</v>
      </c>
      <c r="C26" s="1377" t="s">
        <v>791</v>
      </c>
      <c r="D26" s="1582" t="s">
        <v>626</v>
      </c>
      <c r="E26" s="1988">
        <v>207.07</v>
      </c>
      <c r="F26" s="1988"/>
      <c r="G26" s="1988"/>
      <c r="H26" s="1988"/>
      <c r="I26" s="1988"/>
      <c r="J26" s="1988"/>
      <c r="K26" s="1988"/>
      <c r="L26" s="1988"/>
      <c r="M26" s="1988"/>
      <c r="N26" s="1988"/>
      <c r="O26" s="1988"/>
      <c r="P26" s="1988"/>
      <c r="Q26" s="1275">
        <f>E26</f>
        <v>207.07</v>
      </c>
      <c r="R26" s="659"/>
      <c r="S26" s="660"/>
      <c r="T26" s="661"/>
      <c r="U26" s="317"/>
      <c r="V26" s="1281">
        <v>1</v>
      </c>
    </row>
    <row r="27" spans="1:24" ht="52.5" customHeight="1" thickBot="1" x14ac:dyDescent="0.25">
      <c r="A27" s="1983"/>
      <c r="B27" s="179" t="s">
        <v>789</v>
      </c>
      <c r="C27" s="1544" t="s">
        <v>790</v>
      </c>
      <c r="D27" s="1583" t="s">
        <v>626</v>
      </c>
      <c r="E27" s="1989" t="s">
        <v>1005</v>
      </c>
      <c r="F27" s="1989"/>
      <c r="G27" s="1989"/>
      <c r="H27" s="1989"/>
      <c r="I27" s="1989"/>
      <c r="J27" s="1989"/>
      <c r="K27" s="1969">
        <v>8.9999999999999998E-4</v>
      </c>
      <c r="L27" s="1969"/>
      <c r="M27" s="1969"/>
      <c r="N27" s="1969"/>
      <c r="O27" s="1969"/>
      <c r="P27" s="1969"/>
      <c r="Q27" s="1562">
        <f t="shared" si="1"/>
        <v>8.9999999999999998E-4</v>
      </c>
      <c r="R27" s="1584"/>
      <c r="S27" s="1585"/>
      <c r="T27" s="1586"/>
      <c r="U27" s="1284"/>
      <c r="V27" s="1285">
        <v>1</v>
      </c>
    </row>
    <row r="28" spans="1:24" ht="101.25" customHeight="1" x14ac:dyDescent="0.2">
      <c r="A28" s="1998" t="s">
        <v>42</v>
      </c>
      <c r="B28" s="1587" t="s">
        <v>861</v>
      </c>
      <c r="C28" s="1398" t="s">
        <v>1008</v>
      </c>
      <c r="D28" s="1570">
        <v>0.5</v>
      </c>
      <c r="E28" s="1990">
        <v>0.60919999999999996</v>
      </c>
      <c r="F28" s="1990"/>
      <c r="G28" s="1990"/>
      <c r="H28" s="1990"/>
      <c r="I28" s="1990"/>
      <c r="J28" s="1990"/>
      <c r="K28" s="1990">
        <v>0.55010000000000003</v>
      </c>
      <c r="L28" s="1990"/>
      <c r="M28" s="1990"/>
      <c r="N28" s="1990"/>
      <c r="O28" s="1990"/>
      <c r="P28" s="1990"/>
      <c r="Q28" s="1276">
        <f t="shared" si="1"/>
        <v>0.57965</v>
      </c>
      <c r="R28" s="1557" t="s">
        <v>27</v>
      </c>
      <c r="S28" s="16"/>
      <c r="T28" s="1278"/>
      <c r="U28" s="1279">
        <v>1</v>
      </c>
      <c r="V28" s="1280">
        <v>1</v>
      </c>
    </row>
    <row r="29" spans="1:24" ht="101.25" customHeight="1" x14ac:dyDescent="0.2">
      <c r="A29" s="1999"/>
      <c r="B29" s="702" t="s">
        <v>862</v>
      </c>
      <c r="C29" s="1377" t="s">
        <v>1009</v>
      </c>
      <c r="D29" s="1571">
        <v>0.25</v>
      </c>
      <c r="E29" s="1987">
        <v>0.3412</v>
      </c>
      <c r="F29" s="1987"/>
      <c r="G29" s="1987"/>
      <c r="H29" s="1987"/>
      <c r="I29" s="1987"/>
      <c r="J29" s="1987"/>
      <c r="K29" s="1987">
        <v>0.50590000000000002</v>
      </c>
      <c r="L29" s="1987"/>
      <c r="M29" s="1987"/>
      <c r="N29" s="1987"/>
      <c r="O29" s="1987"/>
      <c r="P29" s="1987"/>
      <c r="Q29" s="1275">
        <f t="shared" si="1"/>
        <v>0.42354999999999998</v>
      </c>
      <c r="R29" s="1271"/>
      <c r="S29" s="1588"/>
      <c r="T29" s="316"/>
      <c r="U29" s="317"/>
      <c r="V29" s="1281">
        <v>1</v>
      </c>
      <c r="W29" s="1049"/>
    </row>
    <row r="30" spans="1:24" ht="93" customHeight="1" x14ac:dyDescent="0.2">
      <c r="A30" s="1999"/>
      <c r="B30" s="703" t="s">
        <v>1328</v>
      </c>
      <c r="C30" s="1377" t="s">
        <v>361</v>
      </c>
      <c r="D30" s="1589">
        <v>4.5</v>
      </c>
      <c r="E30" s="1985">
        <v>4.6900000000000004</v>
      </c>
      <c r="F30" s="1985"/>
      <c r="G30" s="1985"/>
      <c r="H30" s="1985"/>
      <c r="I30" s="1985"/>
      <c r="J30" s="1985"/>
      <c r="K30" s="1985">
        <v>4.5199999999999996</v>
      </c>
      <c r="L30" s="1985"/>
      <c r="M30" s="1985"/>
      <c r="N30" s="1985"/>
      <c r="O30" s="1985"/>
      <c r="P30" s="1985"/>
      <c r="Q30" s="1275">
        <f t="shared" si="1"/>
        <v>4.6050000000000004</v>
      </c>
      <c r="R30" s="314"/>
      <c r="S30" s="315"/>
      <c r="T30" s="316"/>
      <c r="U30" s="317"/>
      <c r="V30" s="1281">
        <v>1</v>
      </c>
    </row>
    <row r="31" spans="1:24" ht="105.75" customHeight="1" x14ac:dyDescent="0.2">
      <c r="A31" s="1999"/>
      <c r="B31" s="703" t="s">
        <v>864</v>
      </c>
      <c r="C31" s="1377" t="s">
        <v>362</v>
      </c>
      <c r="D31" s="1589">
        <v>4.5</v>
      </c>
      <c r="E31" s="1986">
        <v>4.8</v>
      </c>
      <c r="F31" s="1986"/>
      <c r="G31" s="1986"/>
      <c r="H31" s="1986"/>
      <c r="I31" s="1986"/>
      <c r="J31" s="1986"/>
      <c r="K31" s="1986">
        <v>4.51</v>
      </c>
      <c r="L31" s="1986"/>
      <c r="M31" s="1986"/>
      <c r="N31" s="1986"/>
      <c r="O31" s="1986"/>
      <c r="P31" s="1986"/>
      <c r="Q31" s="1275">
        <f t="shared" si="1"/>
        <v>4.6549999999999994</v>
      </c>
      <c r="R31" s="314"/>
      <c r="S31" s="315"/>
      <c r="T31" s="316"/>
      <c r="U31" s="317"/>
      <c r="V31" s="1281">
        <v>1</v>
      </c>
      <c r="X31" s="1050"/>
    </row>
    <row r="32" spans="1:24" ht="126.75" customHeight="1" x14ac:dyDescent="0.2">
      <c r="A32" s="1999"/>
      <c r="B32" s="702" t="s">
        <v>865</v>
      </c>
      <c r="C32" s="1377" t="s">
        <v>621</v>
      </c>
      <c r="D32" s="712">
        <v>0.08</v>
      </c>
      <c r="E32" s="1987">
        <v>0.17519999999999999</v>
      </c>
      <c r="F32" s="1987"/>
      <c r="G32" s="1987"/>
      <c r="H32" s="1987"/>
      <c r="I32" s="1987"/>
      <c r="J32" s="1987"/>
      <c r="K32" s="1987">
        <v>0.2039</v>
      </c>
      <c r="L32" s="1987"/>
      <c r="M32" s="1987"/>
      <c r="N32" s="1987"/>
      <c r="O32" s="1987"/>
      <c r="P32" s="1987"/>
      <c r="Q32" s="1275">
        <f t="shared" si="1"/>
        <v>0.18955</v>
      </c>
      <c r="R32" s="314"/>
      <c r="S32" s="315"/>
      <c r="T32" s="316"/>
      <c r="U32" s="317"/>
      <c r="V32" s="1281">
        <v>1</v>
      </c>
      <c r="X32" s="2" t="s">
        <v>1249</v>
      </c>
    </row>
    <row r="33" spans="1:24" ht="114.75" customHeight="1" x14ac:dyDescent="0.2">
      <c r="A33" s="1999"/>
      <c r="B33" s="702" t="s">
        <v>860</v>
      </c>
      <c r="C33" s="1377" t="s">
        <v>620</v>
      </c>
      <c r="D33" s="712">
        <v>0.1</v>
      </c>
      <c r="E33" s="1987">
        <v>0.1065</v>
      </c>
      <c r="F33" s="1987"/>
      <c r="G33" s="1987"/>
      <c r="H33" s="1987"/>
      <c r="I33" s="1987"/>
      <c r="J33" s="1987"/>
      <c r="K33" s="1987">
        <v>0.13120000000000001</v>
      </c>
      <c r="L33" s="1987"/>
      <c r="M33" s="1987"/>
      <c r="N33" s="1987"/>
      <c r="O33" s="1987"/>
      <c r="P33" s="1987"/>
      <c r="Q33" s="1275">
        <f t="shared" si="1"/>
        <v>0.11885000000000001</v>
      </c>
      <c r="R33" s="314"/>
      <c r="S33" s="315"/>
      <c r="T33" s="316"/>
      <c r="U33" s="317"/>
      <c r="V33" s="1281">
        <v>1</v>
      </c>
      <c r="W33" s="1049"/>
    </row>
    <row r="34" spans="1:24" ht="112.5" customHeight="1" x14ac:dyDescent="0.2">
      <c r="A34" s="1999"/>
      <c r="B34" s="702" t="s">
        <v>866</v>
      </c>
      <c r="C34" s="1377" t="s">
        <v>810</v>
      </c>
      <c r="D34" s="712">
        <v>0.05</v>
      </c>
      <c r="E34" s="1987">
        <v>0.26529999999999998</v>
      </c>
      <c r="F34" s="1987"/>
      <c r="G34" s="1987"/>
      <c r="H34" s="1987"/>
      <c r="I34" s="1987"/>
      <c r="J34" s="1987"/>
      <c r="K34" s="1987">
        <v>0.33679999999999999</v>
      </c>
      <c r="L34" s="1987"/>
      <c r="M34" s="1987"/>
      <c r="N34" s="1987"/>
      <c r="O34" s="1987"/>
      <c r="P34" s="1987"/>
      <c r="Q34" s="1275">
        <f t="shared" si="1"/>
        <v>0.30104999999999998</v>
      </c>
      <c r="R34" s="314"/>
      <c r="S34" s="315"/>
      <c r="T34" s="316"/>
      <c r="U34" s="317"/>
      <c r="V34" s="1281">
        <v>1</v>
      </c>
    </row>
    <row r="35" spans="1:24" ht="60.75" customHeight="1" x14ac:dyDescent="0.2">
      <c r="A35" s="1999"/>
      <c r="B35" s="702" t="s">
        <v>856</v>
      </c>
      <c r="C35" s="1377" t="s">
        <v>521</v>
      </c>
      <c r="D35" s="712">
        <v>0.8</v>
      </c>
      <c r="E35" s="1713">
        <f>135/146</f>
        <v>0.92465753424657537</v>
      </c>
      <c r="F35" s="1713"/>
      <c r="G35" s="1713"/>
      <c r="H35" s="1713"/>
      <c r="I35" s="1713"/>
      <c r="J35" s="1713"/>
      <c r="K35" s="1713"/>
      <c r="L35" s="1713"/>
      <c r="M35" s="1713"/>
      <c r="N35" s="1713"/>
      <c r="O35" s="1713"/>
      <c r="P35" s="1713"/>
      <c r="Q35" s="1275">
        <f t="shared" si="1"/>
        <v>0.92465753424657537</v>
      </c>
      <c r="R35" s="314"/>
      <c r="S35" s="315"/>
      <c r="T35" s="316"/>
      <c r="U35" s="317"/>
      <c r="V35" s="1281">
        <v>1</v>
      </c>
    </row>
    <row r="36" spans="1:24" ht="84" customHeight="1" x14ac:dyDescent="0.2">
      <c r="A36" s="1999"/>
      <c r="B36" s="702" t="s">
        <v>867</v>
      </c>
      <c r="C36" s="1377" t="s">
        <v>520</v>
      </c>
      <c r="D36" s="712">
        <v>0.02</v>
      </c>
      <c r="E36" s="1747">
        <v>0.02</v>
      </c>
      <c r="F36" s="1747"/>
      <c r="G36" s="1747"/>
      <c r="H36" s="1747"/>
      <c r="I36" s="1747"/>
      <c r="J36" s="1747"/>
      <c r="K36" s="1747"/>
      <c r="L36" s="1747"/>
      <c r="M36" s="1747"/>
      <c r="N36" s="1747"/>
      <c r="O36" s="1747"/>
      <c r="P36" s="1747"/>
      <c r="Q36" s="1275">
        <f t="shared" si="1"/>
        <v>0.02</v>
      </c>
      <c r="R36" s="314"/>
      <c r="S36" s="315"/>
      <c r="T36" s="316"/>
      <c r="U36" s="317"/>
      <c r="V36" s="1281">
        <v>1</v>
      </c>
    </row>
    <row r="37" spans="1:24" ht="60.75" customHeight="1" x14ac:dyDescent="0.2">
      <c r="A37" s="1999"/>
      <c r="B37" s="1590" t="s">
        <v>792</v>
      </c>
      <c r="C37" s="1377" t="s">
        <v>811</v>
      </c>
      <c r="D37" s="1591">
        <v>0.02</v>
      </c>
      <c r="E37" s="1987">
        <v>2.2800000000000001E-2</v>
      </c>
      <c r="F37" s="1987"/>
      <c r="G37" s="1987"/>
      <c r="H37" s="1987"/>
      <c r="I37" s="1987"/>
      <c r="J37" s="1987"/>
      <c r="K37" s="1987">
        <v>5.96E-2</v>
      </c>
      <c r="L37" s="1987"/>
      <c r="M37" s="1987"/>
      <c r="N37" s="1987"/>
      <c r="O37" s="1987"/>
      <c r="P37" s="1987"/>
      <c r="Q37" s="1275">
        <f t="shared" si="1"/>
        <v>4.1200000000000001E-2</v>
      </c>
      <c r="R37" s="314"/>
      <c r="S37" s="315"/>
      <c r="T37" s="316"/>
      <c r="U37" s="317"/>
      <c r="V37" s="1281">
        <v>1</v>
      </c>
    </row>
    <row r="38" spans="1:24" ht="60.75" customHeight="1" x14ac:dyDescent="0.2">
      <c r="A38" s="1999"/>
      <c r="B38" s="1592" t="s">
        <v>793</v>
      </c>
      <c r="C38" s="1377" t="s">
        <v>794</v>
      </c>
      <c r="D38" s="1591">
        <v>0.02</v>
      </c>
      <c r="E38" s="1991">
        <f>167/23256</f>
        <v>7.1809425524595807E-3</v>
      </c>
      <c r="F38" s="1991"/>
      <c r="G38" s="1991"/>
      <c r="H38" s="1991"/>
      <c r="I38" s="1991"/>
      <c r="J38" s="1991"/>
      <c r="K38" s="1991">
        <f>432/24184</f>
        <v>1.7863049950380416E-2</v>
      </c>
      <c r="L38" s="1991"/>
      <c r="M38" s="1991"/>
      <c r="N38" s="1991"/>
      <c r="O38" s="1991"/>
      <c r="P38" s="1991"/>
      <c r="Q38" s="1275">
        <f t="shared" si="1"/>
        <v>1.2521996251419998E-2</v>
      </c>
      <c r="R38" s="314"/>
      <c r="S38" s="315"/>
      <c r="T38" s="316"/>
      <c r="U38" s="317"/>
      <c r="V38" s="1281">
        <v>1</v>
      </c>
    </row>
    <row r="39" spans="1:24" ht="60.75" customHeight="1" x14ac:dyDescent="0.2">
      <c r="A39" s="1999"/>
      <c r="B39" s="1592" t="s">
        <v>795</v>
      </c>
      <c r="C39" s="1377" t="s">
        <v>796</v>
      </c>
      <c r="D39" s="1591">
        <v>0.1</v>
      </c>
      <c r="E39" s="1991">
        <f>0/68</f>
        <v>0</v>
      </c>
      <c r="F39" s="1991"/>
      <c r="G39" s="1991"/>
      <c r="H39" s="1991"/>
      <c r="I39" s="1991"/>
      <c r="J39" s="1991"/>
      <c r="K39" s="1991">
        <f>5/193</f>
        <v>2.5906735751295335E-2</v>
      </c>
      <c r="L39" s="1991"/>
      <c r="M39" s="1991"/>
      <c r="N39" s="1991"/>
      <c r="O39" s="1991"/>
      <c r="P39" s="1991"/>
      <c r="Q39" s="1275">
        <f t="shared" si="1"/>
        <v>1.2953367875647668E-2</v>
      </c>
      <c r="R39" s="314"/>
      <c r="S39" s="315"/>
      <c r="T39" s="316"/>
      <c r="U39" s="317"/>
      <c r="V39" s="1281">
        <v>1</v>
      </c>
    </row>
    <row r="40" spans="1:24" ht="60.75" customHeight="1" x14ac:dyDescent="0.2">
      <c r="A40" s="1999"/>
      <c r="B40" s="1592" t="s">
        <v>797</v>
      </c>
      <c r="C40" s="1377" t="s">
        <v>798</v>
      </c>
      <c r="D40" s="1591" t="s">
        <v>626</v>
      </c>
      <c r="E40" s="1992">
        <f>10746/23256</f>
        <v>0.46207430340557276</v>
      </c>
      <c r="F40" s="1992"/>
      <c r="G40" s="1992"/>
      <c r="H40" s="1992"/>
      <c r="I40" s="1992"/>
      <c r="J40" s="1992"/>
      <c r="K40" s="1987">
        <f>11299/24184</f>
        <v>0.4672097254383063</v>
      </c>
      <c r="L40" s="1987"/>
      <c r="M40" s="1987"/>
      <c r="N40" s="1987"/>
      <c r="O40" s="1987"/>
      <c r="P40" s="1987"/>
      <c r="Q40" s="1275">
        <f t="shared" si="1"/>
        <v>0.46464201442193953</v>
      </c>
      <c r="R40" s="314"/>
      <c r="S40" s="315"/>
      <c r="T40" s="316"/>
      <c r="U40" s="317"/>
      <c r="V40" s="1281">
        <v>1</v>
      </c>
      <c r="X40" s="811" t="s">
        <v>735</v>
      </c>
    </row>
    <row r="41" spans="1:24" ht="60.75" customHeight="1" thickBot="1" x14ac:dyDescent="0.25">
      <c r="A41" s="2000"/>
      <c r="B41" s="1593" t="s">
        <v>868</v>
      </c>
      <c r="C41" s="1544" t="s">
        <v>869</v>
      </c>
      <c r="D41" s="1594">
        <v>0.02</v>
      </c>
      <c r="E41" s="1993">
        <f>70/23252</f>
        <v>3.0104937209702392E-3</v>
      </c>
      <c r="F41" s="1993"/>
      <c r="G41" s="1993"/>
      <c r="H41" s="1993"/>
      <c r="I41" s="1993"/>
      <c r="J41" s="1993"/>
      <c r="K41" s="1994">
        <f>218/24184</f>
        <v>9.0142242805160439E-3</v>
      </c>
      <c r="L41" s="1994"/>
      <c r="M41" s="1994"/>
      <c r="N41" s="1994"/>
      <c r="O41" s="1994"/>
      <c r="P41" s="1994"/>
      <c r="Q41" s="1562">
        <f t="shared" si="1"/>
        <v>6.0123590007431418E-3</v>
      </c>
      <c r="R41" s="1563"/>
      <c r="S41" s="17"/>
      <c r="T41" s="1283"/>
      <c r="U41" s="1284"/>
      <c r="V41" s="1285">
        <v>1</v>
      </c>
    </row>
    <row r="42" spans="1:24" ht="89.25" customHeight="1" x14ac:dyDescent="0.2">
      <c r="A42" s="1995" t="s">
        <v>43</v>
      </c>
      <c r="B42" s="1587" t="s">
        <v>1026</v>
      </c>
      <c r="C42" s="1398" t="s">
        <v>523</v>
      </c>
      <c r="D42" s="1595">
        <v>0.8</v>
      </c>
      <c r="E42" s="1973">
        <f>16/17</f>
        <v>0.94117647058823528</v>
      </c>
      <c r="F42" s="1973"/>
      <c r="G42" s="1973"/>
      <c r="H42" s="1973"/>
      <c r="I42" s="1973"/>
      <c r="J42" s="1973"/>
      <c r="K42" s="1973"/>
      <c r="L42" s="1973"/>
      <c r="M42" s="1973"/>
      <c r="N42" s="1973"/>
      <c r="O42" s="1973"/>
      <c r="P42" s="1973"/>
      <c r="Q42" s="1276">
        <f t="shared" si="1"/>
        <v>0.94117647058823528</v>
      </c>
      <c r="R42" s="1557"/>
      <c r="S42" s="16"/>
      <c r="T42" s="1278"/>
      <c r="U42" s="1279"/>
      <c r="V42" s="1280">
        <v>1</v>
      </c>
    </row>
    <row r="43" spans="1:24" ht="47.25" hidden="1" customHeight="1" x14ac:dyDescent="0.2">
      <c r="A43" s="1996"/>
      <c r="B43" s="702" t="s">
        <v>53</v>
      </c>
      <c r="C43" s="702"/>
      <c r="D43" s="1596"/>
      <c r="E43" s="1747"/>
      <c r="F43" s="1747"/>
      <c r="G43" s="1747"/>
      <c r="H43" s="1747"/>
      <c r="I43" s="1747"/>
      <c r="J43" s="1747"/>
      <c r="K43" s="1747"/>
      <c r="L43" s="1747"/>
      <c r="M43" s="1747"/>
      <c r="N43" s="1747"/>
      <c r="O43" s="1747"/>
      <c r="P43" s="1747"/>
      <c r="Q43" s="1597"/>
      <c r="R43" s="314"/>
      <c r="S43" s="315"/>
      <c r="T43" s="316"/>
      <c r="U43" s="317"/>
      <c r="V43" s="1281"/>
    </row>
    <row r="44" spans="1:24" ht="86.25" customHeight="1" x14ac:dyDescent="0.2">
      <c r="A44" s="1996"/>
      <c r="B44" s="1482" t="s">
        <v>1027</v>
      </c>
      <c r="C44" s="1377" t="s">
        <v>363</v>
      </c>
      <c r="D44" s="1598" t="s">
        <v>464</v>
      </c>
      <c r="E44" s="1713">
        <f>3/60</f>
        <v>0.05</v>
      </c>
      <c r="F44" s="1713"/>
      <c r="G44" s="1713"/>
      <c r="H44" s="1713"/>
      <c r="I44" s="1713"/>
      <c r="J44" s="1713"/>
      <c r="K44" s="1713">
        <f>3/51</f>
        <v>5.8823529411764705E-2</v>
      </c>
      <c r="L44" s="1713"/>
      <c r="M44" s="1713"/>
      <c r="N44" s="1713"/>
      <c r="O44" s="1713"/>
      <c r="P44" s="1713"/>
      <c r="Q44" s="1275">
        <f t="shared" si="1"/>
        <v>5.4411764705882354E-2</v>
      </c>
      <c r="R44" s="314" t="s">
        <v>26</v>
      </c>
      <c r="S44" s="315" t="s">
        <v>44</v>
      </c>
      <c r="T44" s="316"/>
      <c r="U44" s="317">
        <v>1</v>
      </c>
      <c r="V44" s="1281">
        <v>1</v>
      </c>
    </row>
    <row r="45" spans="1:24" ht="99.75" customHeight="1" x14ac:dyDescent="0.2">
      <c r="A45" s="1996"/>
      <c r="B45" s="1482" t="s">
        <v>1028</v>
      </c>
      <c r="C45" s="1377" t="s">
        <v>364</v>
      </c>
      <c r="D45" s="1598" t="s">
        <v>465</v>
      </c>
      <c r="E45" s="1713">
        <f>56/60</f>
        <v>0.93333333333333335</v>
      </c>
      <c r="F45" s="1713"/>
      <c r="G45" s="1713"/>
      <c r="H45" s="1713"/>
      <c r="I45" s="1713"/>
      <c r="J45" s="1713"/>
      <c r="K45" s="1713">
        <f>51/51</f>
        <v>1</v>
      </c>
      <c r="L45" s="1713"/>
      <c r="M45" s="1713"/>
      <c r="N45" s="1713"/>
      <c r="O45" s="1713"/>
      <c r="P45" s="1713"/>
      <c r="Q45" s="1275">
        <f t="shared" si="1"/>
        <v>0.96666666666666667</v>
      </c>
      <c r="R45" s="314"/>
      <c r="S45" s="315" t="s">
        <v>44</v>
      </c>
      <c r="T45" s="316"/>
      <c r="U45" s="317">
        <v>1</v>
      </c>
      <c r="V45" s="1281">
        <v>1</v>
      </c>
    </row>
    <row r="46" spans="1:24" ht="102" customHeight="1" x14ac:dyDescent="0.2">
      <c r="A46" s="1996"/>
      <c r="B46" s="1482" t="s">
        <v>1029</v>
      </c>
      <c r="C46" s="1377" t="s">
        <v>365</v>
      </c>
      <c r="D46" s="1598" t="s">
        <v>466</v>
      </c>
      <c r="E46" s="1713">
        <f>51/60</f>
        <v>0.85</v>
      </c>
      <c r="F46" s="1713"/>
      <c r="G46" s="1713"/>
      <c r="H46" s="1713"/>
      <c r="I46" s="1713"/>
      <c r="J46" s="1713"/>
      <c r="K46" s="1713">
        <f>43/51</f>
        <v>0.84313725490196079</v>
      </c>
      <c r="L46" s="1713"/>
      <c r="M46" s="1713"/>
      <c r="N46" s="1713"/>
      <c r="O46" s="1713"/>
      <c r="P46" s="1713"/>
      <c r="Q46" s="1275">
        <f t="shared" si="1"/>
        <v>0.84656862745098038</v>
      </c>
      <c r="R46" s="314"/>
      <c r="S46" s="315"/>
      <c r="T46" s="316"/>
      <c r="U46" s="317"/>
      <c r="V46" s="1281">
        <v>1</v>
      </c>
    </row>
    <row r="47" spans="1:24" ht="21" hidden="1" customHeight="1" x14ac:dyDescent="0.2">
      <c r="A47" s="1996"/>
      <c r="B47" s="833" t="s">
        <v>407</v>
      </c>
      <c r="C47" s="1377" t="s">
        <v>408</v>
      </c>
      <c r="D47" s="1599">
        <v>1</v>
      </c>
      <c r="E47" s="1600"/>
      <c r="F47" s="1600"/>
      <c r="G47" s="1600"/>
      <c r="H47" s="1600"/>
      <c r="I47" s="1600"/>
      <c r="J47" s="1600"/>
      <c r="K47" s="1601"/>
      <c r="L47" s="1601"/>
      <c r="M47" s="1601"/>
      <c r="N47" s="1601"/>
      <c r="O47" s="1601"/>
      <c r="P47" s="1601"/>
      <c r="Q47" s="1275" t="str">
        <f t="shared" si="1"/>
        <v>ND</v>
      </c>
      <c r="R47" s="314"/>
      <c r="S47" s="315"/>
      <c r="T47" s="316"/>
      <c r="U47" s="317"/>
      <c r="V47" s="1281"/>
    </row>
    <row r="48" spans="1:24" ht="51.75" customHeight="1" x14ac:dyDescent="0.2">
      <c r="A48" s="1996"/>
      <c r="B48" s="711" t="s">
        <v>1030</v>
      </c>
      <c r="C48" s="1377" t="s">
        <v>611</v>
      </c>
      <c r="D48" s="1602">
        <v>0.8</v>
      </c>
      <c r="E48" s="1713">
        <f>40/40</f>
        <v>1</v>
      </c>
      <c r="F48" s="1713"/>
      <c r="G48" s="1713"/>
      <c r="H48" s="1713"/>
      <c r="I48" s="1713"/>
      <c r="J48" s="1713"/>
      <c r="K48" s="1713"/>
      <c r="L48" s="1713"/>
      <c r="M48" s="1713"/>
      <c r="N48" s="1713"/>
      <c r="O48" s="1713"/>
      <c r="P48" s="1713"/>
      <c r="Q48" s="1275">
        <f t="shared" si="1"/>
        <v>1</v>
      </c>
      <c r="R48" s="314"/>
      <c r="S48" s="315"/>
      <c r="T48" s="316"/>
      <c r="U48" s="317">
        <v>1</v>
      </c>
      <c r="V48" s="1281">
        <v>1</v>
      </c>
    </row>
    <row r="49" spans="1:22" ht="80.25" customHeight="1" x14ac:dyDescent="0.2">
      <c r="A49" s="1996"/>
      <c r="B49" s="711" t="s">
        <v>1031</v>
      </c>
      <c r="C49" s="1377" t="s">
        <v>667</v>
      </c>
      <c r="D49" s="1602">
        <v>0.8</v>
      </c>
      <c r="E49" s="1713">
        <f>149/153</f>
        <v>0.97385620915032678</v>
      </c>
      <c r="F49" s="1713"/>
      <c r="G49" s="1713"/>
      <c r="H49" s="1713"/>
      <c r="I49" s="1713"/>
      <c r="J49" s="1713"/>
      <c r="K49" s="1713"/>
      <c r="L49" s="1713"/>
      <c r="M49" s="1713"/>
      <c r="N49" s="1713"/>
      <c r="O49" s="1713"/>
      <c r="P49" s="1713"/>
      <c r="Q49" s="1275">
        <f t="shared" si="1"/>
        <v>0.97385620915032678</v>
      </c>
      <c r="R49" s="314" t="s">
        <v>26</v>
      </c>
      <c r="S49" s="315" t="s">
        <v>48</v>
      </c>
      <c r="T49" s="316"/>
      <c r="U49" s="317">
        <v>1</v>
      </c>
      <c r="V49" s="1281">
        <v>1</v>
      </c>
    </row>
    <row r="50" spans="1:22" ht="72" customHeight="1" x14ac:dyDescent="0.2">
      <c r="A50" s="1996"/>
      <c r="B50" s="711" t="s">
        <v>1032</v>
      </c>
      <c r="C50" s="1377" t="s">
        <v>668</v>
      </c>
      <c r="D50" s="1602">
        <v>0.8</v>
      </c>
      <c r="E50" s="1713">
        <f>19/21</f>
        <v>0.90476190476190477</v>
      </c>
      <c r="F50" s="1713"/>
      <c r="G50" s="1713"/>
      <c r="H50" s="1713"/>
      <c r="I50" s="1713"/>
      <c r="J50" s="1713"/>
      <c r="K50" s="1713"/>
      <c r="L50" s="1713"/>
      <c r="M50" s="1713"/>
      <c r="N50" s="1713"/>
      <c r="O50" s="1713"/>
      <c r="P50" s="1713"/>
      <c r="Q50" s="1275">
        <f t="shared" si="1"/>
        <v>0.90476190476190477</v>
      </c>
      <c r="R50" s="314" t="s">
        <v>26</v>
      </c>
      <c r="S50" s="315" t="s">
        <v>50</v>
      </c>
      <c r="T50" s="316"/>
      <c r="U50" s="317">
        <v>1</v>
      </c>
      <c r="V50" s="1281">
        <v>1</v>
      </c>
    </row>
    <row r="51" spans="1:22" ht="203.25" customHeight="1" x14ac:dyDescent="0.2">
      <c r="A51" s="1942"/>
      <c r="B51" s="668" t="s">
        <v>1315</v>
      </c>
      <c r="C51" s="668" t="s">
        <v>1316</v>
      </c>
      <c r="D51" s="1542">
        <v>0.98</v>
      </c>
      <c r="E51" s="1713">
        <v>2.8628999999999998</v>
      </c>
      <c r="F51" s="1713"/>
      <c r="G51" s="1713"/>
      <c r="H51" s="1713"/>
      <c r="I51" s="1713"/>
      <c r="J51" s="1713"/>
      <c r="K51" s="1713"/>
      <c r="L51" s="1713"/>
      <c r="M51" s="1713"/>
      <c r="N51" s="1713"/>
      <c r="O51" s="1713"/>
      <c r="P51" s="1713"/>
      <c r="Q51" s="6">
        <f t="shared" si="1"/>
        <v>2.8628999999999998</v>
      </c>
      <c r="R51" s="314" t="s">
        <v>26</v>
      </c>
      <c r="S51" s="315" t="s">
        <v>50</v>
      </c>
      <c r="T51" s="316"/>
      <c r="U51" s="317">
        <v>1</v>
      </c>
      <c r="V51" s="317">
        <v>1</v>
      </c>
    </row>
    <row r="52" spans="1:22" ht="167.25" customHeight="1" x14ac:dyDescent="0.2">
      <c r="A52" s="1942"/>
      <c r="B52" s="668" t="s">
        <v>1317</v>
      </c>
      <c r="C52" s="668" t="s">
        <v>1318</v>
      </c>
      <c r="D52" s="1542">
        <v>1</v>
      </c>
      <c r="E52" s="1713">
        <v>0.9</v>
      </c>
      <c r="F52" s="1713"/>
      <c r="G52" s="1713"/>
      <c r="H52" s="1713"/>
      <c r="I52" s="1713"/>
      <c r="J52" s="1713"/>
      <c r="K52" s="1713"/>
      <c r="L52" s="1713"/>
      <c r="M52" s="1713"/>
      <c r="N52" s="1713"/>
      <c r="O52" s="1713"/>
      <c r="P52" s="1713"/>
      <c r="Q52" s="6">
        <f t="shared" si="1"/>
        <v>0.9</v>
      </c>
      <c r="R52" s="314" t="s">
        <v>26</v>
      </c>
      <c r="S52" s="315" t="s">
        <v>50</v>
      </c>
      <c r="T52" s="316"/>
      <c r="U52" s="317">
        <v>1</v>
      </c>
      <c r="V52" s="317">
        <v>1</v>
      </c>
    </row>
    <row r="53" spans="1:22" ht="159.75" customHeight="1" x14ac:dyDescent="0.2">
      <c r="A53" s="1942"/>
      <c r="B53" s="668" t="s">
        <v>1319</v>
      </c>
      <c r="C53" s="668" t="s">
        <v>1320</v>
      </c>
      <c r="D53" s="1542">
        <v>0.98</v>
      </c>
      <c r="E53" s="1713">
        <v>0.94120000000000004</v>
      </c>
      <c r="F53" s="1713"/>
      <c r="G53" s="1713"/>
      <c r="H53" s="1713"/>
      <c r="I53" s="1713"/>
      <c r="J53" s="1713"/>
      <c r="K53" s="1713"/>
      <c r="L53" s="1713"/>
      <c r="M53" s="1713"/>
      <c r="N53" s="1713"/>
      <c r="O53" s="1713"/>
      <c r="P53" s="1713"/>
      <c r="Q53" s="6">
        <f t="shared" si="1"/>
        <v>0.94120000000000004</v>
      </c>
      <c r="R53" s="314" t="s">
        <v>26</v>
      </c>
      <c r="S53" s="315" t="s">
        <v>50</v>
      </c>
      <c r="T53" s="316"/>
      <c r="U53" s="317">
        <v>1</v>
      </c>
      <c r="V53" s="317">
        <v>1</v>
      </c>
    </row>
    <row r="54" spans="1:22" ht="72" customHeight="1" thickBot="1" x14ac:dyDescent="0.25">
      <c r="A54" s="1997"/>
      <c r="B54" s="1603" t="s">
        <v>984</v>
      </c>
      <c r="C54" s="1544" t="s">
        <v>985</v>
      </c>
      <c r="D54" s="1604">
        <v>1</v>
      </c>
      <c r="E54" s="2001">
        <f>15/17</f>
        <v>0.88235294117647056</v>
      </c>
      <c r="F54" s="2001"/>
      <c r="G54" s="2001"/>
      <c r="H54" s="2001">
        <f>37/41</f>
        <v>0.90243902439024393</v>
      </c>
      <c r="I54" s="2001"/>
      <c r="J54" s="2001"/>
      <c r="K54" s="2001">
        <f>32/54</f>
        <v>0.59259259259259256</v>
      </c>
      <c r="L54" s="2001"/>
      <c r="M54" s="2001"/>
      <c r="N54" s="2001">
        <f>18/22</f>
        <v>0.81818181818181823</v>
      </c>
      <c r="O54" s="2001"/>
      <c r="P54" s="2001"/>
      <c r="Q54" s="1562">
        <f t="shared" si="1"/>
        <v>0.79889159408528132</v>
      </c>
      <c r="R54" s="1563"/>
      <c r="S54" s="17"/>
      <c r="T54" s="1283"/>
      <c r="U54" s="1284"/>
      <c r="V54" s="1285">
        <v>1</v>
      </c>
    </row>
    <row r="55" spans="1:22" ht="18.75" customHeight="1" thickBot="1" x14ac:dyDescent="0.25">
      <c r="A55" s="1605"/>
      <c r="B55" s="1606" t="s">
        <v>53</v>
      </c>
      <c r="C55" s="1410"/>
      <c r="D55" s="1607"/>
      <c r="E55" s="2002">
        <f>AVERAGE(E54:J54)</f>
        <v>0.89239598278335719</v>
      </c>
      <c r="F55" s="2002"/>
      <c r="G55" s="2002"/>
      <c r="H55" s="2002"/>
      <c r="I55" s="2002"/>
      <c r="J55" s="2002"/>
      <c r="K55" s="2002">
        <f>AVERAGE(K54:P54)</f>
        <v>0.70538720538720545</v>
      </c>
      <c r="L55" s="2002"/>
      <c r="M55" s="2002"/>
      <c r="N55" s="2002"/>
      <c r="O55" s="2002"/>
      <c r="P55" s="2002"/>
      <c r="Q55" s="1608"/>
      <c r="R55" s="659"/>
      <c r="S55" s="1608"/>
      <c r="T55" s="1609"/>
      <c r="U55" s="1515"/>
      <c r="V55" s="1515"/>
    </row>
    <row r="56" spans="1:22" ht="66.75" customHeight="1" x14ac:dyDescent="0.2">
      <c r="A56" s="2003" t="s">
        <v>51</v>
      </c>
      <c r="B56" s="189" t="s">
        <v>986</v>
      </c>
      <c r="C56" s="1610" t="s">
        <v>366</v>
      </c>
      <c r="D56" s="1611">
        <v>1</v>
      </c>
      <c r="E56" s="1612">
        <f>74/74</f>
        <v>1</v>
      </c>
      <c r="F56" s="1612">
        <f>211/211</f>
        <v>1</v>
      </c>
      <c r="G56" s="1612">
        <f>222/222</f>
        <v>1</v>
      </c>
      <c r="H56" s="1612">
        <f>204/204</f>
        <v>1</v>
      </c>
      <c r="I56" s="1612">
        <f>325/325</f>
        <v>1</v>
      </c>
      <c r="J56" s="1612">
        <f>309/309</f>
        <v>1</v>
      </c>
      <c r="K56" s="1612">
        <f>248/248</f>
        <v>1</v>
      </c>
      <c r="L56" s="1612">
        <f>301/301</f>
        <v>1</v>
      </c>
      <c r="M56" s="1612">
        <f>322/322</f>
        <v>1</v>
      </c>
      <c r="N56" s="1613">
        <f>317/317</f>
        <v>1</v>
      </c>
      <c r="O56" s="1612">
        <f>362/362</f>
        <v>1</v>
      </c>
      <c r="P56" s="1612">
        <f>293/293</f>
        <v>1</v>
      </c>
      <c r="Q56" s="1276">
        <f t="shared" si="1"/>
        <v>1</v>
      </c>
      <c r="R56" s="1557" t="s">
        <v>27</v>
      </c>
      <c r="S56" s="16" t="s">
        <v>52</v>
      </c>
      <c r="T56" s="1278"/>
      <c r="U56" s="1279">
        <v>1</v>
      </c>
      <c r="V56" s="1280">
        <v>1</v>
      </c>
    </row>
    <row r="57" spans="1:22" ht="18.75" customHeight="1" x14ac:dyDescent="0.2">
      <c r="A57" s="2004"/>
      <c r="B57" s="1614" t="s">
        <v>53</v>
      </c>
      <c r="C57" s="1377"/>
      <c r="D57" s="1615"/>
      <c r="E57" s="2006">
        <f>AVERAGE(E56:J56)</f>
        <v>1</v>
      </c>
      <c r="F57" s="2006"/>
      <c r="G57" s="2006"/>
      <c r="H57" s="2006"/>
      <c r="I57" s="2006"/>
      <c r="J57" s="2006"/>
      <c r="K57" s="2006">
        <f>AVERAGE(K56:P56)</f>
        <v>1</v>
      </c>
      <c r="L57" s="2006"/>
      <c r="M57" s="2006"/>
      <c r="N57" s="2006"/>
      <c r="O57" s="2006"/>
      <c r="P57" s="2006"/>
      <c r="Q57" s="315"/>
      <c r="R57" s="314"/>
      <c r="S57" s="315"/>
      <c r="T57" s="316"/>
      <c r="U57" s="317"/>
      <c r="V57" s="1281"/>
    </row>
    <row r="58" spans="1:22" ht="72.75" customHeight="1" x14ac:dyDescent="0.2">
      <c r="A58" s="2004"/>
      <c r="B58" s="1614" t="s">
        <v>987</v>
      </c>
      <c r="C58" s="1616" t="s">
        <v>367</v>
      </c>
      <c r="D58" s="1617">
        <v>0.9</v>
      </c>
      <c r="E58" s="1618">
        <f>58/69</f>
        <v>0.84057971014492749</v>
      </c>
      <c r="F58" s="1409">
        <f>191/199</f>
        <v>0.95979899497487442</v>
      </c>
      <c r="G58" s="1409">
        <f>196/220</f>
        <v>0.89090909090909087</v>
      </c>
      <c r="H58" s="1618">
        <f>173/203</f>
        <v>0.85221674876847286</v>
      </c>
      <c r="I58" s="1619">
        <f>300/308</f>
        <v>0.97402597402597402</v>
      </c>
      <c r="J58" s="1619">
        <f>292/298</f>
        <v>0.97986577181208057</v>
      </c>
      <c r="K58" s="1619">
        <f>243/253</f>
        <v>0.96047430830039526</v>
      </c>
      <c r="L58" s="1619">
        <f>301/305</f>
        <v>0.9868852459016394</v>
      </c>
      <c r="M58" s="1409">
        <f>310/317</f>
        <v>0.97791798107255523</v>
      </c>
      <c r="N58" s="1572">
        <f>316/326</f>
        <v>0.96932515337423308</v>
      </c>
      <c r="O58" s="1409">
        <f>398/439</f>
        <v>0.90660592255125283</v>
      </c>
      <c r="P58" s="1409">
        <f>294/322</f>
        <v>0.91304347826086951</v>
      </c>
      <c r="Q58" s="1275">
        <f t="shared" si="1"/>
        <v>0.93430403167469711</v>
      </c>
      <c r="R58" s="314"/>
      <c r="S58" s="315"/>
      <c r="T58" s="316"/>
      <c r="U58" s="317"/>
      <c r="V58" s="1281">
        <v>1</v>
      </c>
    </row>
    <row r="59" spans="1:22" ht="18.75" customHeight="1" x14ac:dyDescent="0.2">
      <c r="A59" s="2004"/>
      <c r="B59" s="1614" t="s">
        <v>53</v>
      </c>
      <c r="C59" s="1377"/>
      <c r="D59" s="1615"/>
      <c r="E59" s="2006">
        <f>AVERAGE(E58:J58)</f>
        <v>0.91623271510590332</v>
      </c>
      <c r="F59" s="2006"/>
      <c r="G59" s="2006"/>
      <c r="H59" s="2006"/>
      <c r="I59" s="2006"/>
      <c r="J59" s="2006"/>
      <c r="K59" s="2006">
        <f>AVERAGE(K58:P58)</f>
        <v>0.9523753482434909</v>
      </c>
      <c r="L59" s="2006"/>
      <c r="M59" s="2006"/>
      <c r="N59" s="2006"/>
      <c r="O59" s="2006"/>
      <c r="P59" s="2006"/>
      <c r="Q59" s="315"/>
      <c r="R59" s="314"/>
      <c r="S59" s="315"/>
      <c r="T59" s="316"/>
      <c r="U59" s="317"/>
      <c r="V59" s="1281"/>
    </row>
    <row r="60" spans="1:22" ht="66.75" customHeight="1" x14ac:dyDescent="0.2">
      <c r="A60" s="2004"/>
      <c r="B60" s="1614" t="s">
        <v>988</v>
      </c>
      <c r="C60" s="1616" t="s">
        <v>989</v>
      </c>
      <c r="D60" s="1617">
        <v>0.9</v>
      </c>
      <c r="E60" s="1620">
        <f>22/122</f>
        <v>0.18032786885245902</v>
      </c>
      <c r="F60" s="1620">
        <f>168/263</f>
        <v>0.63878326996197721</v>
      </c>
      <c r="G60" s="1620">
        <f>193/220</f>
        <v>0.87727272727272732</v>
      </c>
      <c r="H60" s="1620">
        <f>203/233</f>
        <v>0.871244635193133</v>
      </c>
      <c r="I60" s="1620">
        <f>154/170</f>
        <v>0.90588235294117647</v>
      </c>
      <c r="J60" s="1620">
        <f>220/253</f>
        <v>0.86956521739130432</v>
      </c>
      <c r="K60" s="1620">
        <f>240/264</f>
        <v>0.90909090909090906</v>
      </c>
      <c r="L60" s="1620">
        <f>208/240</f>
        <v>0.8666666666666667</v>
      </c>
      <c r="M60" s="1620">
        <f>327/388</f>
        <v>0.84278350515463918</v>
      </c>
      <c r="N60" s="1621">
        <f>195/280</f>
        <v>0.6964285714285714</v>
      </c>
      <c r="O60" s="1620">
        <f>289/338</f>
        <v>0.8550295857988166</v>
      </c>
      <c r="P60" s="1620">
        <f>164/255</f>
        <v>0.64313725490196083</v>
      </c>
      <c r="Q60" s="1275">
        <f t="shared" si="1"/>
        <v>0.76301771372119509</v>
      </c>
      <c r="R60" s="314" t="s">
        <v>27</v>
      </c>
      <c r="S60" s="315" t="s">
        <v>52</v>
      </c>
      <c r="T60" s="316"/>
      <c r="U60" s="317">
        <v>1</v>
      </c>
      <c r="V60" s="1281">
        <v>1</v>
      </c>
    </row>
    <row r="61" spans="1:22" ht="18.75" customHeight="1" x14ac:dyDescent="0.2">
      <c r="A61" s="2004"/>
      <c r="B61" s="1614" t="s">
        <v>53</v>
      </c>
      <c r="C61" s="1377"/>
      <c r="D61" s="1615"/>
      <c r="E61" s="2007">
        <f>AVERAGE(E60:J60)</f>
        <v>0.72384601193546283</v>
      </c>
      <c r="F61" s="2007"/>
      <c r="G61" s="2007"/>
      <c r="H61" s="2007"/>
      <c r="I61" s="2007"/>
      <c r="J61" s="2007"/>
      <c r="K61" s="2007">
        <f>AVERAGE(K60:P60)</f>
        <v>0.80218941550692735</v>
      </c>
      <c r="L61" s="2007"/>
      <c r="M61" s="2007"/>
      <c r="N61" s="2007"/>
      <c r="O61" s="2007"/>
      <c r="P61" s="2007"/>
      <c r="Q61" s="315"/>
      <c r="R61" s="314"/>
      <c r="S61" s="315"/>
      <c r="T61" s="316"/>
      <c r="U61" s="317"/>
      <c r="V61" s="1281"/>
    </row>
    <row r="62" spans="1:22" ht="99" customHeight="1" x14ac:dyDescent="0.2">
      <c r="A62" s="2004"/>
      <c r="B62" s="711" t="s">
        <v>829</v>
      </c>
      <c r="C62" s="1616" t="s">
        <v>369</v>
      </c>
      <c r="D62" s="1617">
        <v>0.1</v>
      </c>
      <c r="E62" s="2008">
        <v>0.36070000000000002</v>
      </c>
      <c r="F62" s="2008"/>
      <c r="G62" s="2008"/>
      <c r="H62" s="2008"/>
      <c r="I62" s="2008"/>
      <c r="J62" s="2008"/>
      <c r="K62" s="2008"/>
      <c r="L62" s="2008"/>
      <c r="M62" s="2008"/>
      <c r="N62" s="2008"/>
      <c r="O62" s="2008"/>
      <c r="P62" s="2008"/>
      <c r="Q62" s="1275">
        <f t="shared" si="1"/>
        <v>0.36070000000000002</v>
      </c>
      <c r="R62" s="314" t="s">
        <v>27</v>
      </c>
      <c r="S62" s="315" t="s">
        <v>41</v>
      </c>
      <c r="T62" s="316"/>
      <c r="U62" s="317">
        <v>1</v>
      </c>
      <c r="V62" s="1281">
        <v>1</v>
      </c>
    </row>
    <row r="63" spans="1:22" ht="83.25" customHeight="1" x14ac:dyDescent="0.2">
      <c r="A63" s="2004"/>
      <c r="B63" s="711" t="s">
        <v>828</v>
      </c>
      <c r="C63" s="1616" t="s">
        <v>549</v>
      </c>
      <c r="D63" s="1617">
        <v>0.1</v>
      </c>
      <c r="E63" s="2010">
        <v>-1E-3</v>
      </c>
      <c r="F63" s="2010"/>
      <c r="G63" s="2010"/>
      <c r="H63" s="2010"/>
      <c r="I63" s="2010"/>
      <c r="J63" s="2010"/>
      <c r="K63" s="2010"/>
      <c r="L63" s="2010"/>
      <c r="M63" s="2010"/>
      <c r="N63" s="2010"/>
      <c r="O63" s="2010"/>
      <c r="P63" s="2010"/>
      <c r="Q63" s="1275">
        <f t="shared" si="1"/>
        <v>-1E-3</v>
      </c>
      <c r="R63" s="314" t="s">
        <v>27</v>
      </c>
      <c r="S63" s="315" t="s">
        <v>41</v>
      </c>
      <c r="T63" s="316"/>
      <c r="U63" s="317">
        <v>1</v>
      </c>
      <c r="V63" s="1281">
        <v>1</v>
      </c>
    </row>
    <row r="64" spans="1:22" ht="102" customHeight="1" x14ac:dyDescent="0.2">
      <c r="A64" s="2004"/>
      <c r="B64" s="711" t="s">
        <v>830</v>
      </c>
      <c r="C64" s="1616" t="s">
        <v>370</v>
      </c>
      <c r="D64" s="1617">
        <v>0.03</v>
      </c>
      <c r="E64" s="2010">
        <v>1.2E-2</v>
      </c>
      <c r="F64" s="2010"/>
      <c r="G64" s="2010"/>
      <c r="H64" s="2010"/>
      <c r="I64" s="2010"/>
      <c r="J64" s="2010"/>
      <c r="K64" s="2010"/>
      <c r="L64" s="2010"/>
      <c r="M64" s="2010"/>
      <c r="N64" s="2010"/>
      <c r="O64" s="2010"/>
      <c r="P64" s="2010"/>
      <c r="Q64" s="1275">
        <f t="shared" si="1"/>
        <v>1.2E-2</v>
      </c>
      <c r="R64" s="314"/>
      <c r="S64" s="315"/>
      <c r="T64" s="316"/>
      <c r="U64" s="317"/>
      <c r="V64" s="1281">
        <v>1</v>
      </c>
    </row>
    <row r="65" spans="1:257" ht="36.75" customHeight="1" x14ac:dyDescent="0.2">
      <c r="A65" s="2004"/>
      <c r="B65" s="702" t="s">
        <v>990</v>
      </c>
      <c r="C65" s="1377" t="s">
        <v>371</v>
      </c>
      <c r="D65" s="1617">
        <v>0.75</v>
      </c>
      <c r="E65" s="1987">
        <v>0.92759999999999998</v>
      </c>
      <c r="F65" s="1987"/>
      <c r="G65" s="1987"/>
      <c r="H65" s="1987"/>
      <c r="I65" s="1987"/>
      <c r="J65" s="1987"/>
      <c r="K65" s="1987"/>
      <c r="L65" s="1987"/>
      <c r="M65" s="1987"/>
      <c r="N65" s="1987"/>
      <c r="O65" s="1987"/>
      <c r="P65" s="1987"/>
      <c r="Q65" s="1275">
        <f t="shared" si="1"/>
        <v>0.92759999999999998</v>
      </c>
      <c r="R65" s="314" t="s">
        <v>26</v>
      </c>
      <c r="S65" s="315" t="s">
        <v>41</v>
      </c>
      <c r="T65" s="316"/>
      <c r="U65" s="317">
        <v>1</v>
      </c>
      <c r="V65" s="1281">
        <v>1</v>
      </c>
    </row>
    <row r="66" spans="1:257" ht="57" customHeight="1" x14ac:dyDescent="0.2">
      <c r="A66" s="2004"/>
      <c r="B66" s="702" t="s">
        <v>991</v>
      </c>
      <c r="C66" s="1377" t="s">
        <v>372</v>
      </c>
      <c r="D66" s="1617">
        <v>0.8</v>
      </c>
      <c r="E66" s="1987">
        <v>0.94269999999999998</v>
      </c>
      <c r="F66" s="1987"/>
      <c r="G66" s="1987"/>
      <c r="H66" s="1987"/>
      <c r="I66" s="1987"/>
      <c r="J66" s="1987"/>
      <c r="K66" s="1987">
        <v>0.99050000000000005</v>
      </c>
      <c r="L66" s="1987"/>
      <c r="M66" s="1987"/>
      <c r="N66" s="1987"/>
      <c r="O66" s="1987"/>
      <c r="P66" s="1987"/>
      <c r="Q66" s="1275">
        <f t="shared" si="1"/>
        <v>0.96660000000000001</v>
      </c>
      <c r="R66" s="314"/>
      <c r="S66" s="315"/>
      <c r="T66" s="316"/>
      <c r="U66" s="317"/>
      <c r="V66" s="1281">
        <v>1</v>
      </c>
    </row>
    <row r="67" spans="1:257" ht="50.25" customHeight="1" x14ac:dyDescent="0.2">
      <c r="A67" s="2004"/>
      <c r="B67" s="702" t="s">
        <v>992</v>
      </c>
      <c r="C67" s="1377" t="s">
        <v>373</v>
      </c>
      <c r="D67" s="1617">
        <v>1</v>
      </c>
      <c r="E67" s="1987">
        <f>5/5</f>
        <v>1</v>
      </c>
      <c r="F67" s="1987"/>
      <c r="G67" s="1987"/>
      <c r="H67" s="1987"/>
      <c r="I67" s="1987"/>
      <c r="J67" s="1987"/>
      <c r="K67" s="1987"/>
      <c r="L67" s="1987"/>
      <c r="M67" s="1987"/>
      <c r="N67" s="1987"/>
      <c r="O67" s="1987"/>
      <c r="P67" s="1987"/>
      <c r="Q67" s="1275">
        <f t="shared" si="1"/>
        <v>1</v>
      </c>
      <c r="R67" s="314" t="s">
        <v>27</v>
      </c>
      <c r="S67" s="315" t="s">
        <v>41</v>
      </c>
      <c r="T67" s="316"/>
      <c r="U67" s="317">
        <v>1</v>
      </c>
      <c r="V67" s="1281">
        <v>1</v>
      </c>
    </row>
    <row r="68" spans="1:257" ht="45.75" customHeight="1" x14ac:dyDescent="0.2">
      <c r="A68" s="2004"/>
      <c r="B68" s="1622" t="s">
        <v>827</v>
      </c>
      <c r="C68" s="1377" t="s">
        <v>375</v>
      </c>
      <c r="D68" s="1617">
        <v>0.9</v>
      </c>
      <c r="E68" s="1747">
        <f>440/468</f>
        <v>0.94017094017094016</v>
      </c>
      <c r="F68" s="1747"/>
      <c r="G68" s="1747"/>
      <c r="H68" s="1747">
        <f>619/641</f>
        <v>0.96567862714508579</v>
      </c>
      <c r="I68" s="1747"/>
      <c r="J68" s="1747"/>
      <c r="K68" s="1747">
        <f>625/650</f>
        <v>0.96153846153846156</v>
      </c>
      <c r="L68" s="1747"/>
      <c r="M68" s="1747"/>
      <c r="N68" s="1747">
        <f>634/652</f>
        <v>0.97239263803680986</v>
      </c>
      <c r="O68" s="1747"/>
      <c r="P68" s="1747"/>
      <c r="Q68" s="1275">
        <f t="shared" si="1"/>
        <v>0.95994516672282437</v>
      </c>
      <c r="R68" s="314" t="s">
        <v>26</v>
      </c>
      <c r="S68" s="315" t="s">
        <v>56</v>
      </c>
      <c r="T68" s="316"/>
      <c r="U68" s="317">
        <v>1</v>
      </c>
      <c r="V68" s="1281">
        <v>1</v>
      </c>
    </row>
    <row r="69" spans="1:257" ht="15" customHeight="1" thickBot="1" x14ac:dyDescent="0.25">
      <c r="A69" s="2005"/>
      <c r="B69" s="2009" t="s">
        <v>60</v>
      </c>
      <c r="C69" s="2009"/>
      <c r="D69" s="2009"/>
      <c r="E69" s="1969">
        <f t="shared" ref="E69" si="2">AVERAGE(E68:J68)</f>
        <v>0.95292478365801303</v>
      </c>
      <c r="F69" s="1969"/>
      <c r="G69" s="1969"/>
      <c r="H69" s="1969"/>
      <c r="I69" s="1969"/>
      <c r="J69" s="1969"/>
      <c r="K69" s="1969">
        <f t="shared" ref="K69" si="3">AVERAGE(K68:P68)</f>
        <v>0.96696554978763571</v>
      </c>
      <c r="L69" s="1969"/>
      <c r="M69" s="1969"/>
      <c r="N69" s="1969"/>
      <c r="O69" s="1969"/>
      <c r="P69" s="1969"/>
      <c r="Q69" s="17"/>
      <c r="R69" s="1563"/>
      <c r="S69" s="17"/>
      <c r="T69" s="1283"/>
      <c r="U69" s="1284"/>
      <c r="V69" s="1285"/>
    </row>
    <row r="70" spans="1:257" ht="15.75" hidden="1" customHeight="1" x14ac:dyDescent="0.2">
      <c r="A70" s="2011" t="s">
        <v>57</v>
      </c>
      <c r="B70" s="1268" t="s">
        <v>58</v>
      </c>
      <c r="C70" s="1623"/>
      <c r="D70" s="1624"/>
      <c r="E70" s="2014"/>
      <c r="F70" s="2014"/>
      <c r="G70" s="2014"/>
      <c r="H70" s="2014"/>
      <c r="I70" s="2014"/>
      <c r="J70" s="2014"/>
      <c r="K70" s="2014"/>
      <c r="L70" s="2014"/>
      <c r="M70" s="2014"/>
      <c r="N70" s="2014"/>
      <c r="O70" s="2014"/>
      <c r="P70" s="2014"/>
      <c r="Q70" s="1588">
        <f t="shared" ref="Q70:Q73" si="4">SUM(E70:P70)</f>
        <v>0</v>
      </c>
      <c r="R70" s="1271"/>
      <c r="S70" s="1588"/>
      <c r="T70" s="1273"/>
      <c r="U70" s="1516"/>
      <c r="V70" s="1516"/>
    </row>
    <row r="71" spans="1:257" ht="15.75" hidden="1" customHeight="1" x14ac:dyDescent="0.2">
      <c r="A71" s="2012"/>
      <c r="B71" s="429" t="s">
        <v>31</v>
      </c>
      <c r="C71" s="1377"/>
      <c r="D71" s="1625"/>
      <c r="E71" s="2015"/>
      <c r="F71" s="2015"/>
      <c r="G71" s="2015"/>
      <c r="H71" s="2015"/>
      <c r="I71" s="2015"/>
      <c r="J71" s="2015"/>
      <c r="K71" s="2015"/>
      <c r="L71" s="2015"/>
      <c r="M71" s="2015"/>
      <c r="N71" s="2015"/>
      <c r="O71" s="2015"/>
      <c r="P71" s="2015"/>
      <c r="Q71" s="315">
        <f t="shared" si="4"/>
        <v>0</v>
      </c>
      <c r="R71" s="314"/>
      <c r="S71" s="315"/>
      <c r="T71" s="316"/>
      <c r="U71" s="317"/>
      <c r="V71" s="317"/>
    </row>
    <row r="72" spans="1:257" ht="27" hidden="1" customHeight="1" x14ac:dyDescent="0.2">
      <c r="A72" s="2012"/>
      <c r="B72" s="429" t="s">
        <v>32</v>
      </c>
      <c r="C72" s="1377"/>
      <c r="D72" s="1625"/>
      <c r="E72" s="2015"/>
      <c r="F72" s="2015"/>
      <c r="G72" s="2015"/>
      <c r="H72" s="2015"/>
      <c r="I72" s="2015"/>
      <c r="J72" s="2015"/>
      <c r="K72" s="2015"/>
      <c r="L72" s="2015"/>
      <c r="M72" s="2015"/>
      <c r="N72" s="2015"/>
      <c r="O72" s="2015"/>
      <c r="P72" s="2015"/>
      <c r="Q72" s="315">
        <f t="shared" si="4"/>
        <v>0</v>
      </c>
      <c r="R72" s="314"/>
      <c r="S72" s="315"/>
      <c r="T72" s="316"/>
      <c r="U72" s="317"/>
      <c r="V72" s="317"/>
    </row>
    <row r="73" spans="1:257" ht="38.25" hidden="1" customHeight="1" thickBot="1" x14ac:dyDescent="0.25">
      <c r="A73" s="2013"/>
      <c r="B73" s="1518" t="s">
        <v>33</v>
      </c>
      <c r="C73" s="1382"/>
      <c r="D73" s="1626"/>
      <c r="E73" s="2016"/>
      <c r="F73" s="2016"/>
      <c r="G73" s="2016"/>
      <c r="H73" s="2016"/>
      <c r="I73" s="2016"/>
      <c r="J73" s="2016"/>
      <c r="K73" s="2016"/>
      <c r="L73" s="2016"/>
      <c r="M73" s="2016"/>
      <c r="N73" s="2016"/>
      <c r="O73" s="2016"/>
      <c r="P73" s="2016"/>
      <c r="Q73" s="368">
        <f t="shared" si="4"/>
        <v>0</v>
      </c>
      <c r="R73" s="367"/>
      <c r="S73" s="368"/>
      <c r="T73" s="369"/>
      <c r="U73" s="1514"/>
      <c r="V73" s="1514"/>
    </row>
    <row r="74" spans="1:257" ht="91.5" customHeight="1" x14ac:dyDescent="0.2">
      <c r="A74" s="2018" t="s">
        <v>59</v>
      </c>
      <c r="B74" s="189" t="s">
        <v>993</v>
      </c>
      <c r="C74" s="1398" t="s">
        <v>376</v>
      </c>
      <c r="D74" s="1627">
        <v>0.97</v>
      </c>
      <c r="E74" s="2021">
        <f>92/93</f>
        <v>0.989247311827957</v>
      </c>
      <c r="F74" s="2021"/>
      <c r="G74" s="2021"/>
      <c r="H74" s="2021"/>
      <c r="I74" s="2021"/>
      <c r="J74" s="2021"/>
      <c r="K74" s="2021" t="s">
        <v>1255</v>
      </c>
      <c r="L74" s="2021"/>
      <c r="M74" s="2021"/>
      <c r="N74" s="2021"/>
      <c r="O74" s="2021"/>
      <c r="P74" s="2021"/>
      <c r="Q74" s="1276">
        <f t="shared" ref="Q74:Q107" si="5">IF(AND((E74=0),(K74=0)),"ND",AVERAGE(E74:P74))</f>
        <v>0.989247311827957</v>
      </c>
      <c r="R74" s="1557" t="s">
        <v>27</v>
      </c>
      <c r="S74" s="16"/>
      <c r="T74" s="1278"/>
      <c r="U74" s="1279">
        <v>1</v>
      </c>
      <c r="V74" s="1280">
        <v>1</v>
      </c>
    </row>
    <row r="75" spans="1:257" ht="30.75" hidden="1" customHeight="1" x14ac:dyDescent="0.2">
      <c r="A75" s="2019"/>
      <c r="B75" s="833" t="s">
        <v>61</v>
      </c>
      <c r="C75" s="1378" t="s">
        <v>377</v>
      </c>
      <c r="D75" s="1628" t="s">
        <v>551</v>
      </c>
      <c r="E75" s="2022"/>
      <c r="F75" s="2022"/>
      <c r="G75" s="2022"/>
      <c r="H75" s="2022"/>
      <c r="I75" s="2022"/>
      <c r="J75" s="2022"/>
      <c r="K75" s="2022"/>
      <c r="L75" s="2022"/>
      <c r="M75" s="2022"/>
      <c r="N75" s="2022"/>
      <c r="O75" s="2022"/>
      <c r="P75" s="2022"/>
      <c r="Q75" s="1275" t="str">
        <f t="shared" si="5"/>
        <v>ND</v>
      </c>
      <c r="R75" s="314"/>
      <c r="S75" s="315"/>
      <c r="T75" s="316"/>
      <c r="U75" s="317"/>
      <c r="V75" s="1281"/>
    </row>
    <row r="76" spans="1:257" ht="87" customHeight="1" x14ac:dyDescent="0.2">
      <c r="A76" s="2019"/>
      <c r="B76" s="702" t="s">
        <v>996</v>
      </c>
      <c r="C76" s="1377" t="s">
        <v>378</v>
      </c>
      <c r="D76" s="1628">
        <v>0.8</v>
      </c>
      <c r="E76" s="2023"/>
      <c r="F76" s="2023"/>
      <c r="G76" s="2023"/>
      <c r="H76" s="2023"/>
      <c r="I76" s="2023"/>
      <c r="J76" s="2023"/>
      <c r="K76" s="2023"/>
      <c r="L76" s="2023"/>
      <c r="M76" s="2023"/>
      <c r="N76" s="2023"/>
      <c r="O76" s="2023"/>
      <c r="P76" s="2023"/>
      <c r="Q76" s="1275" t="str">
        <f t="shared" si="5"/>
        <v>ND</v>
      </c>
      <c r="R76" s="314" t="s">
        <v>27</v>
      </c>
      <c r="S76" s="315"/>
      <c r="T76" s="316"/>
      <c r="U76" s="317">
        <v>1</v>
      </c>
      <c r="V76" s="1281">
        <v>1</v>
      </c>
      <c r="W76" s="782"/>
    </row>
    <row r="77" spans="1:257" ht="19.5" hidden="1" customHeight="1" x14ac:dyDescent="0.2">
      <c r="A77" s="2019"/>
      <c r="B77" s="1590"/>
      <c r="C77" s="1482"/>
      <c r="D77" s="2024"/>
      <c r="E77" s="2022"/>
      <c r="F77" s="2022"/>
      <c r="G77" s="2022"/>
      <c r="H77" s="2022"/>
      <c r="I77" s="2022"/>
      <c r="J77" s="2022"/>
      <c r="K77" s="2022"/>
      <c r="L77" s="2022"/>
      <c r="M77" s="2022"/>
      <c r="N77" s="2022"/>
      <c r="O77" s="2022"/>
      <c r="P77" s="2022"/>
      <c r="Q77" s="1275" t="str">
        <f t="shared" si="5"/>
        <v>ND</v>
      </c>
      <c r="R77" s="1629"/>
      <c r="S77" s="1630"/>
      <c r="T77" s="564"/>
      <c r="U77" s="1631"/>
      <c r="V77" s="1632"/>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c r="IO77" s="21"/>
      <c r="IP77" s="21"/>
      <c r="IQ77" s="21"/>
      <c r="IR77" s="21"/>
      <c r="IS77" s="21"/>
      <c r="IT77" s="21"/>
      <c r="IU77" s="21"/>
      <c r="IV77" s="21"/>
      <c r="IW77" s="21"/>
    </row>
    <row r="78" spans="1:257" ht="24.75" hidden="1" customHeight="1" x14ac:dyDescent="0.2">
      <c r="A78" s="2019"/>
      <c r="B78" s="1519"/>
      <c r="C78" s="860"/>
      <c r="D78" s="2024"/>
      <c r="E78" s="2017"/>
      <c r="F78" s="2017"/>
      <c r="G78" s="2017"/>
      <c r="H78" s="2017"/>
      <c r="I78" s="2017"/>
      <c r="J78" s="2017"/>
      <c r="K78" s="2017"/>
      <c r="L78" s="2017"/>
      <c r="M78" s="2017"/>
      <c r="N78" s="2017"/>
      <c r="O78" s="2017"/>
      <c r="P78" s="2017"/>
      <c r="Q78" s="1275" t="str">
        <f t="shared" si="5"/>
        <v>ND</v>
      </c>
      <c r="R78" s="1629"/>
      <c r="S78" s="1630"/>
      <c r="T78" s="564"/>
      <c r="U78" s="1631"/>
      <c r="V78" s="1632"/>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c r="IH78" s="21"/>
      <c r="II78" s="21"/>
      <c r="IJ78" s="21"/>
      <c r="IK78" s="21"/>
      <c r="IL78" s="21"/>
      <c r="IM78" s="21"/>
      <c r="IN78" s="21"/>
      <c r="IO78" s="21"/>
      <c r="IP78" s="21"/>
      <c r="IQ78" s="21"/>
      <c r="IR78" s="21"/>
      <c r="IS78" s="21"/>
      <c r="IT78" s="21"/>
      <c r="IU78" s="21"/>
      <c r="IV78" s="21"/>
      <c r="IW78" s="21"/>
    </row>
    <row r="79" spans="1:257" ht="18.75" hidden="1" customHeight="1" x14ac:dyDescent="0.2">
      <c r="A79" s="2019"/>
      <c r="B79" s="1519"/>
      <c r="C79" s="860"/>
      <c r="D79" s="2024"/>
      <c r="E79" s="2017"/>
      <c r="F79" s="2017"/>
      <c r="G79" s="2017"/>
      <c r="H79" s="2017"/>
      <c r="I79" s="2017"/>
      <c r="J79" s="2017"/>
      <c r="K79" s="2017"/>
      <c r="L79" s="2017"/>
      <c r="M79" s="2017"/>
      <c r="N79" s="2017"/>
      <c r="O79" s="2017"/>
      <c r="P79" s="2017"/>
      <c r="Q79" s="1275" t="str">
        <f t="shared" si="5"/>
        <v>ND</v>
      </c>
      <c r="R79" s="1629"/>
      <c r="S79" s="1630"/>
      <c r="T79" s="564"/>
      <c r="U79" s="1631"/>
      <c r="V79" s="1632"/>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c r="IH79" s="21"/>
      <c r="II79" s="21"/>
      <c r="IJ79" s="21"/>
      <c r="IK79" s="21"/>
      <c r="IL79" s="21"/>
      <c r="IM79" s="21"/>
      <c r="IN79" s="21"/>
      <c r="IO79" s="21"/>
      <c r="IP79" s="21"/>
      <c r="IQ79" s="21"/>
      <c r="IR79" s="21"/>
      <c r="IS79" s="21"/>
      <c r="IT79" s="21"/>
      <c r="IU79" s="21"/>
      <c r="IV79" s="21"/>
      <c r="IW79" s="21"/>
    </row>
    <row r="80" spans="1:257" s="21" customFormat="1" ht="28.5" hidden="1" customHeight="1" x14ac:dyDescent="0.2">
      <c r="A80" s="2019"/>
      <c r="B80" s="1519"/>
      <c r="C80" s="1377"/>
      <c r="D80" s="2024"/>
      <c r="E80" s="2017"/>
      <c r="F80" s="2017"/>
      <c r="G80" s="2017"/>
      <c r="H80" s="2017"/>
      <c r="I80" s="2017"/>
      <c r="J80" s="2017"/>
      <c r="K80" s="2017"/>
      <c r="L80" s="2017"/>
      <c r="M80" s="2017"/>
      <c r="N80" s="2017"/>
      <c r="O80" s="2017"/>
      <c r="P80" s="2017"/>
      <c r="Q80" s="1275" t="str">
        <f t="shared" si="5"/>
        <v>ND</v>
      </c>
      <c r="R80" s="1629"/>
      <c r="S80" s="1630"/>
      <c r="T80" s="564"/>
      <c r="U80" s="1631"/>
      <c r="V80" s="1632"/>
      <c r="W80" s="1237"/>
    </row>
    <row r="81" spans="1:257" s="21" customFormat="1" ht="27" hidden="1" customHeight="1" x14ac:dyDescent="0.2">
      <c r="A81" s="2019"/>
      <c r="B81" s="1519"/>
      <c r="C81" s="1377"/>
      <c r="D81" s="2024"/>
      <c r="E81" s="2017"/>
      <c r="F81" s="2017"/>
      <c r="G81" s="2017"/>
      <c r="H81" s="2017"/>
      <c r="I81" s="2017"/>
      <c r="J81" s="2017"/>
      <c r="K81" s="2017"/>
      <c r="L81" s="2017"/>
      <c r="M81" s="2017"/>
      <c r="N81" s="2017"/>
      <c r="O81" s="2017"/>
      <c r="P81" s="2017"/>
      <c r="Q81" s="1275" t="str">
        <f t="shared" si="5"/>
        <v>ND</v>
      </c>
      <c r="R81" s="1629"/>
      <c r="S81" s="1630"/>
      <c r="T81" s="564"/>
      <c r="U81" s="1631"/>
      <c r="V81" s="1632"/>
      <c r="W81" s="1237"/>
    </row>
    <row r="82" spans="1:257" s="21" customFormat="1" ht="58.5" customHeight="1" x14ac:dyDescent="0.2">
      <c r="A82" s="2019"/>
      <c r="B82" s="702" t="s">
        <v>997</v>
      </c>
      <c r="C82" s="1377" t="s">
        <v>728</v>
      </c>
      <c r="D82" s="1628">
        <v>0.6</v>
      </c>
      <c r="E82" s="2025">
        <v>1</v>
      </c>
      <c r="F82" s="2025"/>
      <c r="G82" s="2025"/>
      <c r="H82" s="2025"/>
      <c r="I82" s="2025"/>
      <c r="J82" s="2025"/>
      <c r="K82" s="2025"/>
      <c r="L82" s="2025"/>
      <c r="M82" s="2025"/>
      <c r="N82" s="2025"/>
      <c r="O82" s="2025"/>
      <c r="P82" s="2025"/>
      <c r="Q82" s="1275">
        <f t="shared" si="5"/>
        <v>1</v>
      </c>
      <c r="R82" s="1629"/>
      <c r="S82" s="1630"/>
      <c r="T82" s="564"/>
      <c r="U82" s="1631"/>
      <c r="V82" s="1632">
        <v>1</v>
      </c>
      <c r="W82" s="1237"/>
    </row>
    <row r="83" spans="1:257" s="21" customFormat="1" ht="33.75" hidden="1" customHeight="1" x14ac:dyDescent="0.2">
      <c r="A83" s="2019"/>
      <c r="B83" s="1633" t="s">
        <v>707</v>
      </c>
      <c r="C83" s="1482" t="s">
        <v>708</v>
      </c>
      <c r="D83" s="2026">
        <v>0.9</v>
      </c>
      <c r="E83" s="2022"/>
      <c r="F83" s="2022"/>
      <c r="G83" s="2022"/>
      <c r="H83" s="2022"/>
      <c r="I83" s="2022"/>
      <c r="J83" s="2022"/>
      <c r="K83" s="2022"/>
      <c r="L83" s="2022"/>
      <c r="M83" s="2022"/>
      <c r="N83" s="2022"/>
      <c r="O83" s="2022"/>
      <c r="P83" s="2022"/>
      <c r="Q83" s="1275" t="str">
        <f t="shared" si="5"/>
        <v>ND</v>
      </c>
      <c r="R83" s="314" t="s">
        <v>27</v>
      </c>
      <c r="S83" s="315"/>
      <c r="T83" s="316"/>
      <c r="U83" s="317">
        <v>1</v>
      </c>
      <c r="V83" s="1281"/>
      <c r="W83" s="1237"/>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row>
    <row r="84" spans="1:257" s="21" customFormat="1" ht="63" customHeight="1" x14ac:dyDescent="0.2">
      <c r="A84" s="2019"/>
      <c r="B84" s="1482" t="s">
        <v>994</v>
      </c>
      <c r="C84" s="1377" t="s">
        <v>709</v>
      </c>
      <c r="D84" s="2026"/>
      <c r="E84" s="2022">
        <f>9/10</f>
        <v>0.9</v>
      </c>
      <c r="F84" s="2022"/>
      <c r="G84" s="2022"/>
      <c r="H84" s="2022"/>
      <c r="I84" s="2022"/>
      <c r="J84" s="2022"/>
      <c r="K84" s="2022">
        <v>1</v>
      </c>
      <c r="L84" s="2022"/>
      <c r="M84" s="2022"/>
      <c r="N84" s="2022"/>
      <c r="O84" s="2022"/>
      <c r="P84" s="2022"/>
      <c r="Q84" s="1275">
        <f t="shared" si="5"/>
        <v>0.95</v>
      </c>
      <c r="R84" s="367"/>
      <c r="S84" s="368"/>
      <c r="T84" s="369"/>
      <c r="U84" s="1514"/>
      <c r="V84" s="1634">
        <v>1</v>
      </c>
      <c r="W84" s="1237"/>
      <c r="X84" s="2" t="s">
        <v>995</v>
      </c>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row>
    <row r="85" spans="1:257" s="21" customFormat="1" ht="27" hidden="1" customHeight="1" x14ac:dyDescent="0.2">
      <c r="A85" s="2019"/>
      <c r="B85" s="833" t="s">
        <v>710</v>
      </c>
      <c r="C85" s="1377" t="s">
        <v>711</v>
      </c>
      <c r="D85" s="2026"/>
      <c r="E85" s="2027"/>
      <c r="F85" s="2027"/>
      <c r="G85" s="2027"/>
      <c r="H85" s="2027"/>
      <c r="I85" s="2027"/>
      <c r="J85" s="2027"/>
      <c r="K85" s="2017"/>
      <c r="L85" s="2017"/>
      <c r="M85" s="2017"/>
      <c r="N85" s="2017"/>
      <c r="O85" s="2017"/>
      <c r="P85" s="2017"/>
      <c r="Q85" s="1275" t="str">
        <f t="shared" si="5"/>
        <v>ND</v>
      </c>
      <c r="R85" s="367"/>
      <c r="S85" s="368"/>
      <c r="T85" s="369"/>
      <c r="U85" s="1514"/>
      <c r="V85" s="1634"/>
      <c r="W85" s="1237"/>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row>
    <row r="86" spans="1:257" s="21" customFormat="1" ht="80.25" customHeight="1" x14ac:dyDescent="0.2">
      <c r="A86" s="2019"/>
      <c r="B86" s="1519" t="s">
        <v>998</v>
      </c>
      <c r="C86" s="1377" t="s">
        <v>999</v>
      </c>
      <c r="D86" s="810">
        <v>0.8</v>
      </c>
      <c r="E86" s="2025">
        <v>1</v>
      </c>
      <c r="F86" s="2025"/>
      <c r="G86" s="2025"/>
      <c r="H86" s="2025"/>
      <c r="I86" s="2025"/>
      <c r="J86" s="2025"/>
      <c r="K86" s="2025"/>
      <c r="L86" s="2025"/>
      <c r="M86" s="2025"/>
      <c r="N86" s="2025"/>
      <c r="O86" s="2025"/>
      <c r="P86" s="2025"/>
      <c r="Q86" s="1275">
        <f t="shared" si="5"/>
        <v>1</v>
      </c>
      <c r="R86" s="367"/>
      <c r="S86" s="368"/>
      <c r="T86" s="369"/>
      <c r="U86" s="1514"/>
      <c r="V86" s="1634">
        <v>1</v>
      </c>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row>
    <row r="87" spans="1:257" s="21" customFormat="1" ht="87" customHeight="1" x14ac:dyDescent="0.2">
      <c r="A87" s="2019"/>
      <c r="B87" s="1519" t="s">
        <v>1000</v>
      </c>
      <c r="C87" s="1377" t="s">
        <v>1001</v>
      </c>
      <c r="D87" s="810">
        <v>0.5</v>
      </c>
      <c r="E87" s="1747">
        <f>120/144</f>
        <v>0.83333333333333337</v>
      </c>
      <c r="F87" s="1747"/>
      <c r="G87" s="1747"/>
      <c r="H87" s="1747">
        <f>104/144</f>
        <v>0.72222222222222221</v>
      </c>
      <c r="I87" s="1747"/>
      <c r="J87" s="1747"/>
      <c r="K87" s="1747">
        <f>84/144</f>
        <v>0.58333333333333337</v>
      </c>
      <c r="L87" s="1747"/>
      <c r="M87" s="1747"/>
      <c r="N87" s="1747">
        <v>0.75</v>
      </c>
      <c r="O87" s="1747"/>
      <c r="P87" s="1747"/>
      <c r="Q87" s="1275">
        <f t="shared" si="5"/>
        <v>0.72222222222222221</v>
      </c>
      <c r="R87" s="367"/>
      <c r="S87" s="368"/>
      <c r="T87" s="369"/>
      <c r="U87" s="1514"/>
      <c r="V87" s="1634">
        <v>1</v>
      </c>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row>
    <row r="88" spans="1:257" ht="15" customHeight="1" x14ac:dyDescent="0.2">
      <c r="A88" s="2019"/>
      <c r="B88" s="1622" t="s">
        <v>60</v>
      </c>
      <c r="C88" s="711"/>
      <c r="D88" s="1635"/>
      <c r="E88" s="1747">
        <f>AVERAGE(E87:J87)</f>
        <v>0.77777777777777779</v>
      </c>
      <c r="F88" s="1747"/>
      <c r="G88" s="1747"/>
      <c r="H88" s="1747"/>
      <c r="I88" s="1747"/>
      <c r="J88" s="1747"/>
      <c r="K88" s="1747">
        <f>AVERAGE(K87:P87)</f>
        <v>0.66666666666666674</v>
      </c>
      <c r="L88" s="1747"/>
      <c r="M88" s="1747"/>
      <c r="N88" s="1747"/>
      <c r="O88" s="1747"/>
      <c r="P88" s="1747"/>
      <c r="Q88" s="315"/>
      <c r="R88" s="314"/>
      <c r="S88" s="315"/>
      <c r="T88" s="316"/>
      <c r="U88" s="317"/>
      <c r="V88" s="1281"/>
    </row>
    <row r="89" spans="1:257" s="21" customFormat="1" ht="48.75" customHeight="1" x14ac:dyDescent="0.2">
      <c r="A89" s="2019"/>
      <c r="B89" s="1372" t="s">
        <v>1002</v>
      </c>
      <c r="C89" s="1377" t="s">
        <v>1003</v>
      </c>
      <c r="D89" s="810">
        <v>0.8</v>
      </c>
      <c r="E89" s="1747">
        <f>93/120</f>
        <v>0.77500000000000002</v>
      </c>
      <c r="F89" s="1747"/>
      <c r="G89" s="1747"/>
      <c r="H89" s="1747">
        <f>83/104</f>
        <v>0.79807692307692313</v>
      </c>
      <c r="I89" s="1747"/>
      <c r="J89" s="1747"/>
      <c r="K89" s="1747">
        <f>68/84</f>
        <v>0.80952380952380953</v>
      </c>
      <c r="L89" s="1747"/>
      <c r="M89" s="1747"/>
      <c r="N89" s="1747" t="s">
        <v>1257</v>
      </c>
      <c r="O89" s="1747"/>
      <c r="P89" s="1747"/>
      <c r="Q89" s="1275">
        <f t="shared" si="5"/>
        <v>0.79420024420024438</v>
      </c>
      <c r="R89" s="367"/>
      <c r="S89" s="368"/>
      <c r="T89" s="369"/>
      <c r="U89" s="1514"/>
      <c r="V89" s="1634">
        <v>1</v>
      </c>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row>
    <row r="90" spans="1:257" ht="18" customHeight="1" x14ac:dyDescent="0.2">
      <c r="A90" s="2019"/>
      <c r="B90" s="1622" t="s">
        <v>60</v>
      </c>
      <c r="C90" s="711"/>
      <c r="D90" s="1635"/>
      <c r="E90" s="1747">
        <f>AVERAGE(E89:J89)</f>
        <v>0.78653846153846163</v>
      </c>
      <c r="F90" s="1747"/>
      <c r="G90" s="1747"/>
      <c r="H90" s="1747"/>
      <c r="I90" s="1747"/>
      <c r="J90" s="1747"/>
      <c r="K90" s="1747">
        <f>AVERAGE(H89:P89)</f>
        <v>0.80380036630036633</v>
      </c>
      <c r="L90" s="1747"/>
      <c r="M90" s="1747"/>
      <c r="N90" s="1747"/>
      <c r="O90" s="1747"/>
      <c r="P90" s="1747"/>
      <c r="Q90" s="1275">
        <f t="shared" si="5"/>
        <v>0.79516941391941398</v>
      </c>
      <c r="R90" s="314"/>
      <c r="S90" s="315"/>
      <c r="T90" s="316"/>
      <c r="U90" s="317"/>
      <c r="V90" s="1281"/>
    </row>
    <row r="91" spans="1:257" s="21" customFormat="1" ht="80.25" customHeight="1" x14ac:dyDescent="0.2">
      <c r="A91" s="2019"/>
      <c r="B91" s="702" t="s">
        <v>822</v>
      </c>
      <c r="C91" s="1377" t="s">
        <v>823</v>
      </c>
      <c r="D91" s="1636" t="s">
        <v>626</v>
      </c>
      <c r="E91" s="2017">
        <v>0</v>
      </c>
      <c r="F91" s="2017"/>
      <c r="G91" s="2017"/>
      <c r="H91" s="2017"/>
      <c r="I91" s="2017"/>
      <c r="J91" s="2017"/>
      <c r="K91" s="2017"/>
      <c r="L91" s="2017"/>
      <c r="M91" s="2017"/>
      <c r="N91" s="2017"/>
      <c r="O91" s="2017"/>
      <c r="P91" s="2017"/>
      <c r="Q91" s="1275" t="str">
        <f t="shared" si="5"/>
        <v>ND</v>
      </c>
      <c r="R91" s="367"/>
      <c r="S91" s="368"/>
      <c r="T91" s="369"/>
      <c r="U91" s="1514"/>
      <c r="V91" s="1634">
        <v>1</v>
      </c>
      <c r="W91" s="1237"/>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row>
    <row r="92" spans="1:257" s="21" customFormat="1" ht="45" hidden="1" customHeight="1" x14ac:dyDescent="0.2">
      <c r="A92" s="2019"/>
      <c r="B92" s="1637" t="s">
        <v>800</v>
      </c>
      <c r="C92" s="1377" t="s">
        <v>801</v>
      </c>
      <c r="D92" s="1636" t="s">
        <v>626</v>
      </c>
      <c r="E92" s="792">
        <v>316.67</v>
      </c>
      <c r="F92" s="792">
        <v>590</v>
      </c>
      <c r="G92" s="792">
        <v>777.27</v>
      </c>
      <c r="H92" s="792">
        <v>862.5</v>
      </c>
      <c r="I92" s="792">
        <v>557.14</v>
      </c>
      <c r="J92" s="792">
        <v>515</v>
      </c>
      <c r="K92" s="792">
        <v>585</v>
      </c>
      <c r="L92" s="421">
        <v>1.5909</v>
      </c>
      <c r="M92" s="421">
        <v>5.4090999999999996</v>
      </c>
      <c r="N92" s="421">
        <v>6.5</v>
      </c>
      <c r="O92" s="421">
        <v>5.8</v>
      </c>
      <c r="P92" s="421">
        <v>4.1818</v>
      </c>
      <c r="Q92" s="1275">
        <f t="shared" si="5"/>
        <v>352.25515000000001</v>
      </c>
      <c r="R92" s="367"/>
      <c r="S92" s="368"/>
      <c r="T92" s="369"/>
      <c r="U92" s="1514"/>
      <c r="V92" s="1634"/>
      <c r="W92" s="1237"/>
      <c r="X92" s="811" t="s">
        <v>735</v>
      </c>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row>
    <row r="93" spans="1:257" ht="33" customHeight="1" x14ac:dyDescent="0.2">
      <c r="A93" s="2019"/>
      <c r="B93" s="1622" t="s">
        <v>53</v>
      </c>
      <c r="C93" s="1377"/>
      <c r="D93" s="1638"/>
      <c r="E93" s="2028">
        <f>AVERAGE(E92:J92)</f>
        <v>603.09666666666669</v>
      </c>
      <c r="F93" s="2029"/>
      <c r="G93" s="2029"/>
      <c r="H93" s="2029"/>
      <c r="I93" s="2029"/>
      <c r="J93" s="2029"/>
      <c r="K93" s="2028">
        <f>AVERAGE(K92:P92)</f>
        <v>101.41363333333332</v>
      </c>
      <c r="L93" s="2029"/>
      <c r="M93" s="2029"/>
      <c r="N93" s="2029"/>
      <c r="O93" s="2029"/>
      <c r="P93" s="2029"/>
      <c r="Q93" s="315"/>
      <c r="R93" s="314"/>
      <c r="S93" s="315"/>
      <c r="T93" s="316"/>
      <c r="U93" s="317"/>
      <c r="V93" s="1281"/>
    </row>
    <row r="94" spans="1:257" ht="48.75" customHeight="1" x14ac:dyDescent="0.2">
      <c r="A94" s="2019"/>
      <c r="B94" s="1639" t="s">
        <v>802</v>
      </c>
      <c r="C94" s="1377" t="s">
        <v>806</v>
      </c>
      <c r="D94" s="1636" t="s">
        <v>626</v>
      </c>
      <c r="E94" s="792">
        <v>0</v>
      </c>
      <c r="F94" s="792">
        <v>0</v>
      </c>
      <c r="G94" s="792">
        <v>0.17</v>
      </c>
      <c r="H94" s="792">
        <v>0.08</v>
      </c>
      <c r="I94" s="792">
        <v>0.08</v>
      </c>
      <c r="J94" s="792">
        <v>0.09</v>
      </c>
      <c r="K94" s="843">
        <f>0/1089</f>
        <v>0</v>
      </c>
      <c r="L94" s="421">
        <f>2/1129</f>
        <v>1.7714791851195749E-3</v>
      </c>
      <c r="M94" s="421">
        <f>1/1215</f>
        <v>8.2304526748971192E-4</v>
      </c>
      <c r="N94" s="421">
        <f>1/1118</f>
        <v>8.9445438282647585E-4</v>
      </c>
      <c r="O94" s="421">
        <f>1/1122</f>
        <v>8.9126559714795004E-4</v>
      </c>
      <c r="P94" s="421">
        <f>0/408</f>
        <v>0</v>
      </c>
      <c r="Q94" s="1275" t="str">
        <f t="shared" si="5"/>
        <v>ND</v>
      </c>
      <c r="R94" s="367"/>
      <c r="S94" s="368"/>
      <c r="T94" s="369"/>
      <c r="U94" s="1514"/>
      <c r="V94" s="1634">
        <v>1</v>
      </c>
    </row>
    <row r="95" spans="1:257" ht="18.75" customHeight="1" x14ac:dyDescent="0.2">
      <c r="A95" s="2019"/>
      <c r="B95" s="1622" t="s">
        <v>53</v>
      </c>
      <c r="C95" s="1377"/>
      <c r="D95" s="1638"/>
      <c r="E95" s="2028">
        <f>AVERAGE(E94:J94)</f>
        <v>7.0000000000000007E-2</v>
      </c>
      <c r="F95" s="2029"/>
      <c r="G95" s="2029"/>
      <c r="H95" s="2029"/>
      <c r="I95" s="2029"/>
      <c r="J95" s="2029"/>
      <c r="K95" s="2030">
        <f>AVERAGE(K94:P94)</f>
        <v>7.3004073876395197E-4</v>
      </c>
      <c r="L95" s="2030"/>
      <c r="M95" s="2030"/>
      <c r="N95" s="2030"/>
      <c r="O95" s="2030"/>
      <c r="P95" s="2030"/>
      <c r="Q95" s="315"/>
      <c r="R95" s="314"/>
      <c r="S95" s="315"/>
      <c r="T95" s="316"/>
      <c r="U95" s="317"/>
      <c r="V95" s="1281"/>
    </row>
    <row r="96" spans="1:257" ht="82.5" customHeight="1" x14ac:dyDescent="0.2">
      <c r="A96" s="2019"/>
      <c r="B96" s="1639" t="s">
        <v>803</v>
      </c>
      <c r="C96" s="1377" t="s">
        <v>807</v>
      </c>
      <c r="D96" s="1636" t="s">
        <v>626</v>
      </c>
      <c r="E96" s="792">
        <v>0</v>
      </c>
      <c r="F96" s="792">
        <v>4</v>
      </c>
      <c r="G96" s="792">
        <v>4.76</v>
      </c>
      <c r="H96" s="792">
        <v>4.29</v>
      </c>
      <c r="I96" s="792">
        <v>4.3499999999999996</v>
      </c>
      <c r="J96" s="792">
        <v>1.97</v>
      </c>
      <c r="K96" s="421">
        <v>1.7399999999999999E-2</v>
      </c>
      <c r="L96" s="421">
        <v>0</v>
      </c>
      <c r="M96" s="421">
        <v>1.8100000000000002E-2</v>
      </c>
      <c r="N96" s="421">
        <v>2.24E-2</v>
      </c>
      <c r="O96" s="421">
        <v>1.78E-2</v>
      </c>
      <c r="P96" s="421">
        <v>2.7E-2</v>
      </c>
      <c r="Q96" s="1275">
        <f t="shared" si="5"/>
        <v>1.622725</v>
      </c>
      <c r="R96" s="367"/>
      <c r="S96" s="368"/>
      <c r="T96" s="369"/>
      <c r="U96" s="1514"/>
      <c r="V96" s="1634">
        <v>1</v>
      </c>
    </row>
    <row r="97" spans="1:24" ht="18.75" customHeight="1" x14ac:dyDescent="0.2">
      <c r="A97" s="2019"/>
      <c r="B97" s="1622" t="s">
        <v>53</v>
      </c>
      <c r="C97" s="1377"/>
      <c r="D97" s="1638"/>
      <c r="E97" s="2028">
        <f>AVERAGE(E96:J96)</f>
        <v>3.2283333333333331</v>
      </c>
      <c r="F97" s="2029"/>
      <c r="G97" s="2029"/>
      <c r="H97" s="2029"/>
      <c r="I97" s="2029"/>
      <c r="J97" s="2029"/>
      <c r="K97" s="2028">
        <f>AVERAGE(K96:P96)</f>
        <v>1.7116666666666665E-2</v>
      </c>
      <c r="L97" s="2029"/>
      <c r="M97" s="2029"/>
      <c r="N97" s="2029"/>
      <c r="O97" s="2029"/>
      <c r="P97" s="2029"/>
      <c r="Q97" s="315"/>
      <c r="R97" s="314"/>
      <c r="S97" s="315"/>
      <c r="T97" s="316"/>
      <c r="U97" s="317"/>
      <c r="V97" s="1281"/>
    </row>
    <row r="98" spans="1:24" ht="65.25" customHeight="1" x14ac:dyDescent="0.2">
      <c r="A98" s="2019"/>
      <c r="B98" s="1639" t="s">
        <v>804</v>
      </c>
      <c r="C98" s="1377" t="s">
        <v>808</v>
      </c>
      <c r="D98" s="1636" t="s">
        <v>626</v>
      </c>
      <c r="E98" s="1225">
        <v>0</v>
      </c>
      <c r="F98" s="1225">
        <v>0</v>
      </c>
      <c r="G98" s="1225">
        <v>0</v>
      </c>
      <c r="H98" s="1225">
        <f>0/4</f>
        <v>0</v>
      </c>
      <c r="I98" s="1225">
        <v>0</v>
      </c>
      <c r="J98" s="1225">
        <f>0/6</f>
        <v>0</v>
      </c>
      <c r="K98" s="1225">
        <f>0/7</f>
        <v>0</v>
      </c>
      <c r="L98" s="1226">
        <v>0</v>
      </c>
      <c r="M98" s="1226">
        <v>0</v>
      </c>
      <c r="N98" s="1226">
        <v>0</v>
      </c>
      <c r="O98" s="1226">
        <v>0</v>
      </c>
      <c r="P98" s="1226">
        <v>0</v>
      </c>
      <c r="Q98" s="1275" t="str">
        <f t="shared" si="5"/>
        <v>ND</v>
      </c>
      <c r="R98" s="367" t="s">
        <v>27</v>
      </c>
      <c r="S98" s="368"/>
      <c r="T98" s="369"/>
      <c r="U98" s="1514">
        <v>1</v>
      </c>
      <c r="V98" s="1634">
        <v>1</v>
      </c>
    </row>
    <row r="99" spans="1:24" ht="18.75" customHeight="1" x14ac:dyDescent="0.2">
      <c r="A99" s="2019"/>
      <c r="B99" s="1622" t="s">
        <v>53</v>
      </c>
      <c r="C99" s="1377"/>
      <c r="D99" s="1638"/>
      <c r="E99" s="2028">
        <f>AVERAGE(E98:J98)</f>
        <v>0</v>
      </c>
      <c r="F99" s="2029"/>
      <c r="G99" s="2029"/>
      <c r="H99" s="2029"/>
      <c r="I99" s="2029"/>
      <c r="J99" s="2029"/>
      <c r="K99" s="2028">
        <f>AVERAGE(K98:P98)</f>
        <v>0</v>
      </c>
      <c r="L99" s="2029"/>
      <c r="M99" s="2029"/>
      <c r="N99" s="2029"/>
      <c r="O99" s="2029"/>
      <c r="P99" s="2029"/>
      <c r="Q99" s="315"/>
      <c r="R99" s="314"/>
      <c r="S99" s="315"/>
      <c r="T99" s="316"/>
      <c r="U99" s="317"/>
      <c r="V99" s="1281"/>
    </row>
    <row r="100" spans="1:24" ht="54" customHeight="1" thickBot="1" x14ac:dyDescent="0.25">
      <c r="A100" s="2020"/>
      <c r="B100" s="179" t="s">
        <v>805</v>
      </c>
      <c r="C100" s="1544" t="s">
        <v>809</v>
      </c>
      <c r="D100" s="1640" t="s">
        <v>626</v>
      </c>
      <c r="E100" s="2031">
        <v>0</v>
      </c>
      <c r="F100" s="2031"/>
      <c r="G100" s="2031"/>
      <c r="H100" s="2031"/>
      <c r="I100" s="2031"/>
      <c r="J100" s="2031"/>
      <c r="K100" s="2031"/>
      <c r="L100" s="2031"/>
      <c r="M100" s="2031"/>
      <c r="N100" s="2031"/>
      <c r="O100" s="2031"/>
      <c r="P100" s="2031"/>
      <c r="Q100" s="1562" t="str">
        <f t="shared" si="5"/>
        <v>ND</v>
      </c>
      <c r="R100" s="1641"/>
      <c r="S100" s="1641"/>
      <c r="T100" s="1642"/>
      <c r="U100" s="1643"/>
      <c r="V100" s="1644">
        <v>1</v>
      </c>
    </row>
    <row r="101" spans="1:24" ht="71.25" customHeight="1" x14ac:dyDescent="0.2">
      <c r="A101" s="2042" t="s">
        <v>63</v>
      </c>
      <c r="B101" s="1715" t="s">
        <v>825</v>
      </c>
      <c r="C101" s="2033" t="s">
        <v>380</v>
      </c>
      <c r="D101" s="1645">
        <v>0.97</v>
      </c>
      <c r="E101" s="460">
        <f>87/87</f>
        <v>1</v>
      </c>
      <c r="F101" s="460">
        <f>316/317</f>
        <v>0.99684542586750791</v>
      </c>
      <c r="G101" s="460">
        <f>367/371</f>
        <v>0.98921832884097038</v>
      </c>
      <c r="H101" s="460">
        <f>509/510</f>
        <v>0.99803921568627452</v>
      </c>
      <c r="I101" s="460">
        <f>259/260</f>
        <v>0.99615384615384617</v>
      </c>
      <c r="J101" s="460">
        <f>93/95</f>
        <v>0.97894736842105268</v>
      </c>
      <c r="K101" s="460">
        <f>155/157</f>
        <v>0.98726114649681529</v>
      </c>
      <c r="L101" s="460">
        <f>410/415</f>
        <v>0.98795180722891562</v>
      </c>
      <c r="M101" s="460">
        <f>420/426</f>
        <v>0.9859154929577465</v>
      </c>
      <c r="N101" s="460">
        <f>351/353</f>
        <v>0.99433427762039661</v>
      </c>
      <c r="O101" s="460">
        <f>218/223</f>
        <v>0.97757847533632292</v>
      </c>
      <c r="P101" s="460">
        <f>35/36</f>
        <v>0.97222222222222221</v>
      </c>
      <c r="Q101" s="1276">
        <f t="shared" si="5"/>
        <v>0.98870563390267241</v>
      </c>
      <c r="R101" s="1646"/>
      <c r="S101" s="1647"/>
      <c r="T101" s="1648"/>
      <c r="U101" s="1649">
        <v>1</v>
      </c>
      <c r="V101" s="1650">
        <v>1</v>
      </c>
    </row>
    <row r="102" spans="1:24" ht="23.25" customHeight="1" x14ac:dyDescent="0.2">
      <c r="A102" s="2043"/>
      <c r="B102" s="2032"/>
      <c r="C102" s="1984"/>
      <c r="D102" s="1651" t="s">
        <v>60</v>
      </c>
      <c r="E102" s="1747">
        <f>AVERAGE(E101:J101)</f>
        <v>0.993200697494942</v>
      </c>
      <c r="F102" s="1747"/>
      <c r="G102" s="1747"/>
      <c r="H102" s="1747"/>
      <c r="I102" s="1747"/>
      <c r="J102" s="1747"/>
      <c r="K102" s="1747">
        <f>AVERAGE(K101:P101)</f>
        <v>0.98421057031040327</v>
      </c>
      <c r="L102" s="1747"/>
      <c r="M102" s="1747"/>
      <c r="N102" s="1747"/>
      <c r="O102" s="1747"/>
      <c r="P102" s="1747"/>
      <c r="Q102" s="315"/>
      <c r="R102" s="1652"/>
      <c r="S102" s="1653"/>
      <c r="T102" s="1654"/>
      <c r="U102" s="1520"/>
      <c r="V102" s="1655"/>
    </row>
    <row r="103" spans="1:24" ht="81" customHeight="1" x14ac:dyDescent="0.2">
      <c r="A103" s="2043"/>
      <c r="B103" s="2034" t="s">
        <v>824</v>
      </c>
      <c r="C103" s="1984" t="s">
        <v>382</v>
      </c>
      <c r="D103" s="1651">
        <v>0.97</v>
      </c>
      <c r="E103" s="999">
        <f>86/86</f>
        <v>1</v>
      </c>
      <c r="F103" s="999">
        <f>134/134</f>
        <v>1</v>
      </c>
      <c r="G103" s="999">
        <f>131/132</f>
        <v>0.99242424242424243</v>
      </c>
      <c r="H103" s="999">
        <f>162/162</f>
        <v>1</v>
      </c>
      <c r="I103" s="999">
        <f>173/173</f>
        <v>1</v>
      </c>
      <c r="J103" s="999">
        <f>117/118</f>
        <v>0.99152542372881358</v>
      </c>
      <c r="K103" s="999">
        <f>130/130</f>
        <v>1</v>
      </c>
      <c r="L103" s="999">
        <f>183/184</f>
        <v>0.99456521739130432</v>
      </c>
      <c r="M103" s="999">
        <f>166/170</f>
        <v>0.97647058823529409</v>
      </c>
      <c r="N103" s="999">
        <f>125/128</f>
        <v>0.9765625</v>
      </c>
      <c r="O103" s="999">
        <f>122/123</f>
        <v>0.99186991869918695</v>
      </c>
      <c r="P103" s="999">
        <f>53/54</f>
        <v>0.98148148148148151</v>
      </c>
      <c r="Q103" s="1275">
        <f t="shared" si="5"/>
        <v>0.99207494766336024</v>
      </c>
      <c r="R103" s="1652"/>
      <c r="S103" s="1653"/>
      <c r="T103" s="1654"/>
      <c r="U103" s="1520">
        <v>1</v>
      </c>
      <c r="V103" s="1655">
        <v>1</v>
      </c>
    </row>
    <row r="104" spans="1:24" ht="28.5" customHeight="1" x14ac:dyDescent="0.2">
      <c r="A104" s="2043"/>
      <c r="B104" s="2034"/>
      <c r="C104" s="1984"/>
      <c r="D104" s="1651" t="s">
        <v>60</v>
      </c>
      <c r="E104" s="1747">
        <f>AVERAGE(E103:J103)</f>
        <v>0.99732494435884256</v>
      </c>
      <c r="F104" s="1747"/>
      <c r="G104" s="1747"/>
      <c r="H104" s="1747"/>
      <c r="I104" s="1747"/>
      <c r="J104" s="1747"/>
      <c r="K104" s="1747">
        <f>AVERAGE(K103:P103)</f>
        <v>0.98682495096787781</v>
      </c>
      <c r="L104" s="1747"/>
      <c r="M104" s="1747"/>
      <c r="N104" s="1747"/>
      <c r="O104" s="1747"/>
      <c r="P104" s="1747"/>
      <c r="Q104" s="315"/>
      <c r="R104" s="1652"/>
      <c r="S104" s="1653"/>
      <c r="T104" s="1654"/>
      <c r="U104" s="1520"/>
      <c r="V104" s="1655"/>
    </row>
    <row r="105" spans="1:24" ht="66" customHeight="1" x14ac:dyDescent="0.2">
      <c r="A105" s="2043"/>
      <c r="B105" s="1872" t="s">
        <v>826</v>
      </c>
      <c r="C105" s="1984" t="s">
        <v>384</v>
      </c>
      <c r="D105" s="1651">
        <v>0.97</v>
      </c>
      <c r="E105" s="999">
        <f t="shared" ref="E105:I107" si="6">461/461</f>
        <v>1</v>
      </c>
      <c r="F105" s="999">
        <f t="shared" si="6"/>
        <v>1</v>
      </c>
      <c r="G105" s="999">
        <f t="shared" si="6"/>
        <v>1</v>
      </c>
      <c r="H105" s="999">
        <f t="shared" si="6"/>
        <v>1</v>
      </c>
      <c r="I105" s="999">
        <f>461/461</f>
        <v>1</v>
      </c>
      <c r="J105" s="999">
        <f>461/461</f>
        <v>1</v>
      </c>
      <c r="K105" s="999">
        <f>455/461</f>
        <v>0.98698481561822127</v>
      </c>
      <c r="L105" s="999">
        <f>456/461</f>
        <v>0.98915401301518435</v>
      </c>
      <c r="M105" s="999">
        <f>455/461</f>
        <v>0.98698481561822127</v>
      </c>
      <c r="N105" s="999">
        <f>454/461</f>
        <v>0.98481561822125818</v>
      </c>
      <c r="O105" s="999">
        <f>456/461</f>
        <v>0.98915401301518435</v>
      </c>
      <c r="P105" s="999">
        <f>454/461</f>
        <v>0.98481561822125818</v>
      </c>
      <c r="Q105" s="1275">
        <f t="shared" si="5"/>
        <v>0.99349240780911074</v>
      </c>
      <c r="R105" s="1652"/>
      <c r="S105" s="1652"/>
      <c r="T105" s="1654"/>
      <c r="U105" s="1520"/>
      <c r="V105" s="1655">
        <v>1</v>
      </c>
    </row>
    <row r="106" spans="1:24" ht="30.75" customHeight="1" x14ac:dyDescent="0.2">
      <c r="A106" s="2043"/>
      <c r="B106" s="1872"/>
      <c r="C106" s="1984"/>
      <c r="D106" s="1651" t="s">
        <v>60</v>
      </c>
      <c r="E106" s="1747">
        <f>AVERAGE(E105:J105)</f>
        <v>1</v>
      </c>
      <c r="F106" s="1747"/>
      <c r="G106" s="1747"/>
      <c r="H106" s="1747"/>
      <c r="I106" s="1747"/>
      <c r="J106" s="1747"/>
      <c r="K106" s="1747">
        <f>AVERAGE(K105:P105)</f>
        <v>0.98698481561822138</v>
      </c>
      <c r="L106" s="1747"/>
      <c r="M106" s="1747"/>
      <c r="N106" s="1747"/>
      <c r="O106" s="1747"/>
      <c r="P106" s="1747"/>
      <c r="Q106" s="315"/>
      <c r="R106" s="1652"/>
      <c r="S106" s="1652"/>
      <c r="T106" s="1654"/>
      <c r="U106" s="1520"/>
      <c r="V106" s="1655"/>
    </row>
    <row r="107" spans="1:24" ht="57.75" customHeight="1" x14ac:dyDescent="0.2">
      <c r="A107" s="2043"/>
      <c r="B107" s="1872" t="s">
        <v>1185</v>
      </c>
      <c r="C107" s="1984" t="s">
        <v>385</v>
      </c>
      <c r="D107" s="1651">
        <v>0.97</v>
      </c>
      <c r="E107" s="999">
        <f t="shared" si="6"/>
        <v>1</v>
      </c>
      <c r="F107" s="999">
        <f t="shared" si="6"/>
        <v>1</v>
      </c>
      <c r="G107" s="999">
        <f t="shared" si="6"/>
        <v>1</v>
      </c>
      <c r="H107" s="999">
        <f t="shared" si="6"/>
        <v>1</v>
      </c>
      <c r="I107" s="999">
        <f t="shared" si="6"/>
        <v>1</v>
      </c>
      <c r="J107" s="999">
        <f>461/461</f>
        <v>1</v>
      </c>
      <c r="K107" s="999">
        <f>455/461</f>
        <v>0.98698481561822127</v>
      </c>
      <c r="L107" s="999">
        <f>456/461</f>
        <v>0.98915401301518435</v>
      </c>
      <c r="M107" s="999">
        <f>454/461</f>
        <v>0.98481561822125818</v>
      </c>
      <c r="N107" s="999">
        <f>452/461</f>
        <v>0.9804772234273319</v>
      </c>
      <c r="O107" s="999">
        <f>455/461</f>
        <v>0.98698481561822127</v>
      </c>
      <c r="P107" s="999">
        <f>456/461</f>
        <v>0.98915401301518435</v>
      </c>
      <c r="Q107" s="1275">
        <f t="shared" si="5"/>
        <v>0.99313087490961693</v>
      </c>
      <c r="R107" s="1652"/>
      <c r="S107" s="1652"/>
      <c r="T107" s="1654"/>
      <c r="U107" s="1520"/>
      <c r="V107" s="1655">
        <v>1</v>
      </c>
      <c r="X107" s="811" t="s">
        <v>735</v>
      </c>
    </row>
    <row r="108" spans="1:24" ht="30" customHeight="1" thickBot="1" x14ac:dyDescent="0.25">
      <c r="A108" s="2044"/>
      <c r="B108" s="2035"/>
      <c r="C108" s="2036"/>
      <c r="D108" s="1656" t="s">
        <v>60</v>
      </c>
      <c r="E108" s="1969">
        <f>AVERAGE(E107:J107)</f>
        <v>1</v>
      </c>
      <c r="F108" s="1969"/>
      <c r="G108" s="1969"/>
      <c r="H108" s="1969"/>
      <c r="I108" s="1969"/>
      <c r="J108" s="1969"/>
      <c r="K108" s="1969">
        <f>AVERAGE(K107:P107)</f>
        <v>0.98626174981923354</v>
      </c>
      <c r="L108" s="1969"/>
      <c r="M108" s="1969"/>
      <c r="N108" s="1969"/>
      <c r="O108" s="1969"/>
      <c r="P108" s="1969"/>
      <c r="Q108" s="17"/>
      <c r="R108" s="1641"/>
      <c r="S108" s="1641"/>
      <c r="T108" s="1642"/>
      <c r="U108" s="1643"/>
      <c r="V108" s="1644"/>
    </row>
    <row r="109" spans="1:24" ht="15.75" hidden="1" customHeight="1" x14ac:dyDescent="0.2">
      <c r="A109" s="2037" t="s">
        <v>64</v>
      </c>
      <c r="B109" s="1657" t="s">
        <v>58</v>
      </c>
      <c r="C109" s="1623"/>
      <c r="D109" s="1624"/>
      <c r="E109" s="2040"/>
      <c r="F109" s="2040"/>
      <c r="G109" s="2040"/>
      <c r="H109" s="2040"/>
      <c r="I109" s="2040"/>
      <c r="J109" s="2040"/>
      <c r="K109" s="1869"/>
      <c r="L109" s="1869"/>
      <c r="M109" s="1869"/>
      <c r="N109" s="1869"/>
      <c r="O109" s="1869"/>
      <c r="P109" s="1869"/>
      <c r="Q109" s="1588">
        <f t="shared" ref="Q109:Q112" si="7">SUM(E109:P109)</f>
        <v>0</v>
      </c>
      <c r="R109" s="1271"/>
      <c r="S109" s="1588"/>
      <c r="T109" s="1273"/>
      <c r="U109" s="1516"/>
      <c r="V109" s="1658"/>
    </row>
    <row r="110" spans="1:24" ht="14.25" hidden="1" customHeight="1" x14ac:dyDescent="0.2">
      <c r="A110" s="2038"/>
      <c r="B110" s="1659" t="s">
        <v>31</v>
      </c>
      <c r="C110" s="1377"/>
      <c r="D110" s="1625"/>
      <c r="E110" s="2041"/>
      <c r="F110" s="2041"/>
      <c r="G110" s="2041"/>
      <c r="H110" s="2041"/>
      <c r="I110" s="2041"/>
      <c r="J110" s="2041"/>
      <c r="K110" s="1713"/>
      <c r="L110" s="1713"/>
      <c r="M110" s="1713"/>
      <c r="N110" s="1713"/>
      <c r="O110" s="1713"/>
      <c r="P110" s="1713"/>
      <c r="Q110" s="315">
        <f t="shared" si="7"/>
        <v>0</v>
      </c>
      <c r="R110" s="314"/>
      <c r="S110" s="315"/>
      <c r="T110" s="316"/>
      <c r="U110" s="317"/>
      <c r="V110" s="317"/>
    </row>
    <row r="111" spans="1:24" ht="29.25" hidden="1" customHeight="1" x14ac:dyDescent="0.2">
      <c r="A111" s="2038"/>
      <c r="B111" s="1659" t="s">
        <v>32</v>
      </c>
      <c r="C111" s="1377"/>
      <c r="D111" s="1625"/>
      <c r="E111" s="2041"/>
      <c r="F111" s="2041"/>
      <c r="G111" s="2041"/>
      <c r="H111" s="2041"/>
      <c r="I111" s="2041"/>
      <c r="J111" s="2041"/>
      <c r="K111" s="1713"/>
      <c r="L111" s="1713"/>
      <c r="M111" s="1713"/>
      <c r="N111" s="1713"/>
      <c r="O111" s="1713"/>
      <c r="P111" s="1713"/>
      <c r="Q111" s="315">
        <f t="shared" si="7"/>
        <v>0</v>
      </c>
      <c r="R111" s="314"/>
      <c r="S111" s="315"/>
      <c r="T111" s="316"/>
      <c r="U111" s="317"/>
      <c r="V111" s="317"/>
    </row>
    <row r="112" spans="1:24" ht="48" hidden="1" customHeight="1" thickBot="1" x14ac:dyDescent="0.25">
      <c r="A112" s="2039"/>
      <c r="B112" s="1660" t="s">
        <v>33</v>
      </c>
      <c r="C112" s="1382"/>
      <c r="D112" s="1626"/>
      <c r="E112" s="2052"/>
      <c r="F112" s="2052"/>
      <c r="G112" s="2052"/>
      <c r="H112" s="2052"/>
      <c r="I112" s="2052"/>
      <c r="J112" s="2052"/>
      <c r="K112" s="2053"/>
      <c r="L112" s="2053"/>
      <c r="M112" s="2053"/>
      <c r="N112" s="2053"/>
      <c r="O112" s="2053"/>
      <c r="P112" s="2053"/>
      <c r="Q112" s="368">
        <f t="shared" si="7"/>
        <v>0</v>
      </c>
      <c r="R112" s="367"/>
      <c r="S112" s="368"/>
      <c r="T112" s="369"/>
      <c r="U112" s="1514"/>
      <c r="V112" s="1514"/>
    </row>
    <row r="113" spans="1:29" ht="79.5" customHeight="1" x14ac:dyDescent="0.2">
      <c r="A113" s="2054" t="s">
        <v>65</v>
      </c>
      <c r="B113" s="1521" t="s">
        <v>1037</v>
      </c>
      <c r="C113" s="1398" t="s">
        <v>386</v>
      </c>
      <c r="D113" s="1661">
        <v>1</v>
      </c>
      <c r="E113" s="1775">
        <f>306/316</f>
        <v>0.96835443037974689</v>
      </c>
      <c r="F113" s="1776"/>
      <c r="G113" s="1776"/>
      <c r="H113" s="1776"/>
      <c r="I113" s="1776"/>
      <c r="J113" s="1776"/>
      <c r="K113" s="1775">
        <f>301/305</f>
        <v>0.9868852459016394</v>
      </c>
      <c r="L113" s="1776"/>
      <c r="M113" s="1776"/>
      <c r="N113" s="1776"/>
      <c r="O113" s="1776"/>
      <c r="P113" s="1776"/>
      <c r="Q113" s="1276">
        <f t="shared" ref="Q113:Q147" si="8">IF(AND((E113=0),(K113=0)),"ND",AVERAGE(E113:P113))</f>
        <v>0.97761983814069309</v>
      </c>
      <c r="R113" s="1557"/>
      <c r="S113" s="1277"/>
      <c r="T113" s="1278"/>
      <c r="U113" s="1279">
        <v>1</v>
      </c>
      <c r="V113" s="1280">
        <v>1</v>
      </c>
    </row>
    <row r="114" spans="1:29" ht="47.25" customHeight="1" x14ac:dyDescent="0.2">
      <c r="A114" s="2055"/>
      <c r="B114" s="711" t="s">
        <v>1038</v>
      </c>
      <c r="C114" s="1377" t="s">
        <v>387</v>
      </c>
      <c r="D114" s="1662">
        <v>0.9</v>
      </c>
      <c r="E114" s="1713">
        <f>14/17</f>
        <v>0.82352941176470584</v>
      </c>
      <c r="F114" s="1713"/>
      <c r="G114" s="1713"/>
      <c r="H114" s="1713"/>
      <c r="I114" s="1713"/>
      <c r="J114" s="1713"/>
      <c r="K114" s="1713"/>
      <c r="L114" s="1713"/>
      <c r="M114" s="1713"/>
      <c r="N114" s="1713"/>
      <c r="O114" s="1713"/>
      <c r="P114" s="1713"/>
      <c r="Q114" s="1275">
        <f t="shared" si="8"/>
        <v>0.82352941176470584</v>
      </c>
      <c r="R114" s="314"/>
      <c r="S114" s="463"/>
      <c r="T114" s="316"/>
      <c r="U114" s="317"/>
      <c r="V114" s="1281">
        <v>1</v>
      </c>
    </row>
    <row r="115" spans="1:29" ht="63.75" customHeight="1" thickBot="1" x14ac:dyDescent="0.25">
      <c r="A115" s="2056"/>
      <c r="B115" s="1663" t="s">
        <v>1039</v>
      </c>
      <c r="C115" s="1544" t="s">
        <v>388</v>
      </c>
      <c r="D115" s="1664">
        <v>0.9</v>
      </c>
      <c r="E115" s="2057">
        <f>310/310</f>
        <v>1</v>
      </c>
      <c r="F115" s="2058"/>
      <c r="G115" s="2058"/>
      <c r="H115" s="2058"/>
      <c r="I115" s="2058"/>
      <c r="J115" s="2058"/>
      <c r="K115" s="2057">
        <f>305/305</f>
        <v>1</v>
      </c>
      <c r="L115" s="2058"/>
      <c r="M115" s="2058"/>
      <c r="N115" s="2058"/>
      <c r="O115" s="2058"/>
      <c r="P115" s="2058"/>
      <c r="Q115" s="1562">
        <f t="shared" si="8"/>
        <v>1</v>
      </c>
      <c r="R115" s="1563"/>
      <c r="S115" s="1564"/>
      <c r="T115" s="1283"/>
      <c r="U115" s="1284"/>
      <c r="V115" s="1285">
        <v>1</v>
      </c>
    </row>
    <row r="116" spans="1:29" ht="63.75" customHeight="1" x14ac:dyDescent="0.2">
      <c r="A116" s="2045" t="s">
        <v>467</v>
      </c>
      <c r="B116" s="1665" t="s">
        <v>978</v>
      </c>
      <c r="C116" s="1398" t="s">
        <v>414</v>
      </c>
      <c r="D116" s="1666">
        <v>0.7</v>
      </c>
      <c r="E116" s="1775">
        <f>27/31</f>
        <v>0.87096774193548387</v>
      </c>
      <c r="F116" s="1775"/>
      <c r="G116" s="1775"/>
      <c r="H116" s="1775"/>
      <c r="I116" s="1775"/>
      <c r="J116" s="1775"/>
      <c r="K116" s="1775"/>
      <c r="L116" s="1775"/>
      <c r="M116" s="1775"/>
      <c r="N116" s="1775"/>
      <c r="O116" s="1775"/>
      <c r="P116" s="1775"/>
      <c r="Q116" s="1276">
        <f t="shared" si="8"/>
        <v>0.87096774193548387</v>
      </c>
      <c r="R116" s="1557"/>
      <c r="S116" s="1277"/>
      <c r="T116" s="1278"/>
      <c r="U116" s="1279">
        <v>1</v>
      </c>
      <c r="V116" s="1280">
        <v>1</v>
      </c>
    </row>
    <row r="117" spans="1:29" ht="66.75" customHeight="1" x14ac:dyDescent="0.2">
      <c r="A117" s="2046"/>
      <c r="B117" s="1872" t="s">
        <v>979</v>
      </c>
      <c r="C117" s="1984" t="s">
        <v>416</v>
      </c>
      <c r="D117" s="1558">
        <v>0.8</v>
      </c>
      <c r="E117" s="999">
        <f>4/4</f>
        <v>1</v>
      </c>
      <c r="F117" s="999">
        <f>5/5</f>
        <v>1</v>
      </c>
      <c r="G117" s="999">
        <f>19/19</f>
        <v>1</v>
      </c>
      <c r="H117" s="999">
        <f>12/12</f>
        <v>1</v>
      </c>
      <c r="I117" s="999">
        <f>11/11</f>
        <v>1</v>
      </c>
      <c r="J117" s="999">
        <f>17/17</f>
        <v>1</v>
      </c>
      <c r="K117" s="999">
        <f>15/15</f>
        <v>1</v>
      </c>
      <c r="L117" s="999">
        <f>16/16</f>
        <v>1</v>
      </c>
      <c r="M117" s="999">
        <f>38/38</f>
        <v>1</v>
      </c>
      <c r="N117" s="999">
        <f>15/15</f>
        <v>1</v>
      </c>
      <c r="O117" s="999">
        <f>26/26</f>
        <v>1</v>
      </c>
      <c r="P117" s="999">
        <f>6/6</f>
        <v>1</v>
      </c>
      <c r="Q117" s="1275">
        <f t="shared" si="8"/>
        <v>1</v>
      </c>
      <c r="R117" s="314"/>
      <c r="S117" s="463"/>
      <c r="T117" s="316"/>
      <c r="U117" s="317"/>
      <c r="V117" s="1281">
        <v>1</v>
      </c>
    </row>
    <row r="118" spans="1:29" ht="15.75" x14ac:dyDescent="0.2">
      <c r="A118" s="2046"/>
      <c r="B118" s="2034"/>
      <c r="C118" s="1984"/>
      <c r="D118" s="1558" t="s">
        <v>60</v>
      </c>
      <c r="E118" s="1747">
        <f>AVERAGE(E117:J117)</f>
        <v>1</v>
      </c>
      <c r="F118" s="1747"/>
      <c r="G118" s="1747"/>
      <c r="H118" s="1747"/>
      <c r="I118" s="1747"/>
      <c r="J118" s="1747"/>
      <c r="K118" s="1747">
        <f>AVERAGE(K117:P117)</f>
        <v>1</v>
      </c>
      <c r="L118" s="1747"/>
      <c r="M118" s="1747"/>
      <c r="N118" s="1747"/>
      <c r="O118" s="1747"/>
      <c r="P118" s="1747"/>
      <c r="Q118" s="315"/>
      <c r="R118" s="1652"/>
      <c r="S118" s="1654"/>
      <c r="T118" s="1654"/>
      <c r="U118" s="1667"/>
      <c r="V118" s="1668"/>
    </row>
    <row r="119" spans="1:29" ht="55.5" customHeight="1" thickBot="1" x14ac:dyDescent="0.4">
      <c r="A119" s="2047"/>
      <c r="B119" s="1669" t="s">
        <v>980</v>
      </c>
      <c r="C119" s="1670" t="s">
        <v>712</v>
      </c>
      <c r="D119" s="1561">
        <v>1</v>
      </c>
      <c r="E119" s="2048">
        <f>329/329</f>
        <v>1</v>
      </c>
      <c r="F119" s="2049"/>
      <c r="G119" s="2049"/>
      <c r="H119" s="2049"/>
      <c r="I119" s="2049"/>
      <c r="J119" s="2049"/>
      <c r="K119" s="2050">
        <f>340/340</f>
        <v>1</v>
      </c>
      <c r="L119" s="2051"/>
      <c r="M119" s="2051"/>
      <c r="N119" s="2051"/>
      <c r="O119" s="2051"/>
      <c r="P119" s="2051"/>
      <c r="Q119" s="1562">
        <f t="shared" si="8"/>
        <v>1</v>
      </c>
      <c r="R119" s="1641"/>
      <c r="S119" s="1642"/>
      <c r="T119" s="1642"/>
      <c r="U119" s="1671"/>
      <c r="V119" s="1285">
        <v>1</v>
      </c>
    </row>
    <row r="120" spans="1:29" ht="72" customHeight="1" x14ac:dyDescent="0.35">
      <c r="A120" s="2059" t="s">
        <v>447</v>
      </c>
      <c r="B120" s="2062" t="s">
        <v>1012</v>
      </c>
      <c r="C120" s="1398" t="s">
        <v>1291</v>
      </c>
      <c r="D120" s="2064">
        <v>0.7</v>
      </c>
      <c r="E120" s="2065">
        <f>41/49</f>
        <v>0.83673469387755106</v>
      </c>
      <c r="F120" s="2066"/>
      <c r="G120" s="2066"/>
      <c r="H120" s="2066"/>
      <c r="I120" s="2066"/>
      <c r="J120" s="2066"/>
      <c r="K120" s="2065">
        <f>46/54</f>
        <v>0.85185185185185186</v>
      </c>
      <c r="L120" s="2066"/>
      <c r="M120" s="2066"/>
      <c r="N120" s="2066"/>
      <c r="O120" s="2066"/>
      <c r="P120" s="2066"/>
      <c r="Q120" s="1276">
        <f t="shared" si="8"/>
        <v>0.84429327286470146</v>
      </c>
      <c r="R120" s="1557"/>
      <c r="S120" s="1277"/>
      <c r="T120" s="1278"/>
      <c r="U120" s="1279">
        <v>1</v>
      </c>
      <c r="V120" s="2067">
        <v>1</v>
      </c>
    </row>
    <row r="121" spans="1:29" ht="72" customHeight="1" x14ac:dyDescent="0.35">
      <c r="A121" s="2060"/>
      <c r="B121" s="2063"/>
      <c r="C121" s="1377" t="s">
        <v>1292</v>
      </c>
      <c r="D121" s="2026"/>
      <c r="E121" s="1732">
        <f>30/38</f>
        <v>0.78947368421052633</v>
      </c>
      <c r="F121" s="1733"/>
      <c r="G121" s="1733"/>
      <c r="H121" s="1733"/>
      <c r="I121" s="1733"/>
      <c r="J121" s="1733"/>
      <c r="K121" s="1732">
        <f>29/38</f>
        <v>0.76315789473684215</v>
      </c>
      <c r="L121" s="1733"/>
      <c r="M121" s="1733"/>
      <c r="N121" s="1733"/>
      <c r="O121" s="1733"/>
      <c r="P121" s="1733"/>
      <c r="Q121" s="1275">
        <f t="shared" si="8"/>
        <v>0.77631578947368429</v>
      </c>
      <c r="R121" s="314"/>
      <c r="S121" s="463"/>
      <c r="T121" s="316"/>
      <c r="U121" s="317"/>
      <c r="V121" s="2068"/>
    </row>
    <row r="122" spans="1:29" ht="72" customHeight="1" x14ac:dyDescent="0.35">
      <c r="A122" s="2060"/>
      <c r="B122" s="2063"/>
      <c r="C122" s="1377" t="s">
        <v>1293</v>
      </c>
      <c r="D122" s="2026"/>
      <c r="E122" s="1854">
        <v>0.7702</v>
      </c>
      <c r="F122" s="1855"/>
      <c r="G122" s="1855"/>
      <c r="H122" s="1855"/>
      <c r="I122" s="1855"/>
      <c r="J122" s="1855"/>
      <c r="K122" s="1854">
        <f>72/100</f>
        <v>0.72</v>
      </c>
      <c r="L122" s="1855"/>
      <c r="M122" s="1855"/>
      <c r="N122" s="1855"/>
      <c r="O122" s="1855"/>
      <c r="P122" s="1855"/>
      <c r="Q122" s="1275">
        <f t="shared" si="8"/>
        <v>0.74509999999999998</v>
      </c>
      <c r="R122" s="314"/>
      <c r="S122" s="463"/>
      <c r="T122" s="316"/>
      <c r="U122" s="317"/>
      <c r="V122" s="2068"/>
      <c r="X122" s="811" t="s">
        <v>735</v>
      </c>
    </row>
    <row r="123" spans="1:29" ht="72" customHeight="1" x14ac:dyDescent="0.35">
      <c r="A123" s="2060"/>
      <c r="B123" s="2063"/>
      <c r="C123" s="1377" t="s">
        <v>1294</v>
      </c>
      <c r="D123" s="2026"/>
      <c r="E123" s="1856">
        <f>48/61</f>
        <v>0.78688524590163933</v>
      </c>
      <c r="F123" s="1857"/>
      <c r="G123" s="1857"/>
      <c r="H123" s="1857"/>
      <c r="I123" s="1857"/>
      <c r="J123" s="1857"/>
      <c r="K123" s="1856">
        <f>46/59</f>
        <v>0.77966101694915257</v>
      </c>
      <c r="L123" s="1857"/>
      <c r="M123" s="1857"/>
      <c r="N123" s="1857"/>
      <c r="O123" s="1857"/>
      <c r="P123" s="1857"/>
      <c r="Q123" s="1275">
        <f t="shared" si="8"/>
        <v>0.78327313142539601</v>
      </c>
      <c r="R123" s="314"/>
      <c r="S123" s="463"/>
      <c r="T123" s="316"/>
      <c r="U123" s="317"/>
      <c r="V123" s="2069"/>
      <c r="X123" s="811" t="s">
        <v>735</v>
      </c>
    </row>
    <row r="124" spans="1:29" ht="70.5" customHeight="1" x14ac:dyDescent="0.2">
      <c r="A124" s="2060"/>
      <c r="B124" s="395" t="s">
        <v>1186</v>
      </c>
      <c r="C124" s="1377" t="s">
        <v>451</v>
      </c>
      <c r="D124" s="1672">
        <v>1</v>
      </c>
      <c r="E124" s="1735">
        <f>3/3</f>
        <v>1</v>
      </c>
      <c r="F124" s="1735"/>
      <c r="G124" s="1735"/>
      <c r="H124" s="1735"/>
      <c r="I124" s="1735"/>
      <c r="J124" s="1735"/>
      <c r="K124" s="1735"/>
      <c r="L124" s="1735"/>
      <c r="M124" s="1735"/>
      <c r="N124" s="1735"/>
      <c r="O124" s="1735"/>
      <c r="P124" s="1735"/>
      <c r="Q124" s="1275">
        <f t="shared" si="8"/>
        <v>1</v>
      </c>
      <c r="R124" s="314"/>
      <c r="S124" s="463"/>
      <c r="T124" s="316"/>
      <c r="U124" s="317"/>
      <c r="V124" s="1281">
        <v>1</v>
      </c>
      <c r="X124" s="1729" t="s">
        <v>743</v>
      </c>
      <c r="Y124" s="1728" t="s">
        <v>718</v>
      </c>
      <c r="Z124" s="1728"/>
      <c r="AB124" s="1728" t="s">
        <v>719</v>
      </c>
      <c r="AC124" s="1728"/>
    </row>
    <row r="125" spans="1:29" ht="66" customHeight="1" x14ac:dyDescent="0.2">
      <c r="A125" s="2060"/>
      <c r="B125" s="429" t="s">
        <v>1187</v>
      </c>
      <c r="C125" s="1377" t="s">
        <v>452</v>
      </c>
      <c r="D125" s="1672">
        <v>0.9</v>
      </c>
      <c r="E125" s="1735">
        <f>6/6</f>
        <v>1</v>
      </c>
      <c r="F125" s="1735"/>
      <c r="G125" s="1735"/>
      <c r="H125" s="1735"/>
      <c r="I125" s="1735"/>
      <c r="J125" s="1735"/>
      <c r="K125" s="1735"/>
      <c r="L125" s="1735"/>
      <c r="M125" s="1735"/>
      <c r="N125" s="1735"/>
      <c r="O125" s="1735"/>
      <c r="P125" s="1735"/>
      <c r="Q125" s="1275">
        <f t="shared" si="8"/>
        <v>1</v>
      </c>
      <c r="R125" s="314"/>
      <c r="S125" s="463"/>
      <c r="T125" s="316"/>
      <c r="U125" s="317"/>
      <c r="V125" s="1281">
        <v>1</v>
      </c>
      <c r="X125" s="1729"/>
      <c r="Y125" s="564" t="s">
        <v>744</v>
      </c>
      <c r="Z125" s="564" t="s">
        <v>745</v>
      </c>
      <c r="AB125" s="563" t="s">
        <v>744</v>
      </c>
      <c r="AC125" s="564" t="s">
        <v>745</v>
      </c>
    </row>
    <row r="126" spans="1:29" ht="39.75" customHeight="1" x14ac:dyDescent="0.2">
      <c r="A126" s="2060"/>
      <c r="B126" s="2034" t="s">
        <v>453</v>
      </c>
      <c r="C126" s="1377" t="s">
        <v>1015</v>
      </c>
      <c r="D126" s="2073" t="s">
        <v>454</v>
      </c>
      <c r="E126" s="2074">
        <v>4.66</v>
      </c>
      <c r="F126" s="2074"/>
      <c r="G126" s="2074"/>
      <c r="H126" s="2074"/>
      <c r="I126" s="2074"/>
      <c r="J126" s="2074"/>
      <c r="K126" s="2074">
        <v>4.72</v>
      </c>
      <c r="L126" s="2074"/>
      <c r="M126" s="2074"/>
      <c r="N126" s="2074"/>
      <c r="O126" s="2074"/>
      <c r="P126" s="2074"/>
      <c r="Q126" s="1275">
        <f t="shared" si="8"/>
        <v>4.6899999999999995</v>
      </c>
      <c r="R126" s="314"/>
      <c r="S126" s="463"/>
      <c r="T126" s="316"/>
      <c r="U126" s="317"/>
      <c r="V126" s="1281">
        <v>1</v>
      </c>
      <c r="X126" s="565" t="s">
        <v>739</v>
      </c>
      <c r="Y126" s="561">
        <v>44</v>
      </c>
      <c r="Z126" s="561">
        <v>54</v>
      </c>
      <c r="AA126" s="559"/>
      <c r="AB126" s="561">
        <v>42</v>
      </c>
      <c r="AC126" s="561">
        <v>53</v>
      </c>
    </row>
    <row r="127" spans="1:29" ht="39.75" customHeight="1" x14ac:dyDescent="0.2">
      <c r="A127" s="2060"/>
      <c r="B127" s="2034"/>
      <c r="C127" s="1377" t="s">
        <v>1013</v>
      </c>
      <c r="D127" s="2073"/>
      <c r="E127" s="2074">
        <v>4.6100000000000003</v>
      </c>
      <c r="F127" s="2074"/>
      <c r="G127" s="2074"/>
      <c r="H127" s="2074"/>
      <c r="I127" s="2074"/>
      <c r="J127" s="2074"/>
      <c r="K127" s="2074">
        <v>4.63</v>
      </c>
      <c r="L127" s="2074"/>
      <c r="M127" s="2074"/>
      <c r="N127" s="2074"/>
      <c r="O127" s="2074"/>
      <c r="P127" s="2074"/>
      <c r="Q127" s="1275">
        <f t="shared" si="8"/>
        <v>4.62</v>
      </c>
      <c r="R127" s="314"/>
      <c r="S127" s="463"/>
      <c r="T127" s="316"/>
      <c r="U127" s="317"/>
      <c r="V127" s="1281">
        <v>1</v>
      </c>
      <c r="X127" s="565" t="s">
        <v>740</v>
      </c>
      <c r="Y127" s="561">
        <v>50</v>
      </c>
      <c r="Z127" s="561">
        <v>73</v>
      </c>
      <c r="AA127" s="559"/>
      <c r="AB127" s="561">
        <v>51</v>
      </c>
      <c r="AC127" s="561">
        <v>71</v>
      </c>
    </row>
    <row r="128" spans="1:29" ht="39.75" customHeight="1" x14ac:dyDescent="0.2">
      <c r="A128" s="2060"/>
      <c r="B128" s="2034"/>
      <c r="C128" s="1377" t="s">
        <v>1036</v>
      </c>
      <c r="D128" s="2073"/>
      <c r="E128" s="2074">
        <v>4.57</v>
      </c>
      <c r="F128" s="2074"/>
      <c r="G128" s="2074"/>
      <c r="H128" s="2074"/>
      <c r="I128" s="2074"/>
      <c r="J128" s="2074"/>
      <c r="K128" s="2074">
        <v>4.7</v>
      </c>
      <c r="L128" s="2074"/>
      <c r="M128" s="2074"/>
      <c r="N128" s="2074"/>
      <c r="O128" s="2074"/>
      <c r="P128" s="2074"/>
      <c r="Q128" s="1275">
        <f t="shared" si="8"/>
        <v>4.6349999999999998</v>
      </c>
      <c r="R128" s="314"/>
      <c r="S128" s="463"/>
      <c r="T128" s="316"/>
      <c r="U128" s="317"/>
      <c r="V128" s="1281">
        <v>1</v>
      </c>
      <c r="X128" s="565" t="s">
        <v>741</v>
      </c>
      <c r="Y128" s="561">
        <v>61</v>
      </c>
      <c r="Z128" s="561">
        <v>114</v>
      </c>
      <c r="AA128" s="559"/>
      <c r="AB128" s="561">
        <v>60</v>
      </c>
      <c r="AC128" s="561">
        <v>115</v>
      </c>
    </row>
    <row r="129" spans="1:29" ht="39.75" customHeight="1" x14ac:dyDescent="0.2">
      <c r="A129" s="2060"/>
      <c r="B129" s="2034"/>
      <c r="C129" s="1377" t="s">
        <v>1014</v>
      </c>
      <c r="D129" s="2073"/>
      <c r="E129" s="2074">
        <v>4.6100000000000003</v>
      </c>
      <c r="F129" s="2074"/>
      <c r="G129" s="2074"/>
      <c r="H129" s="2074"/>
      <c r="I129" s="2074"/>
      <c r="J129" s="2074"/>
      <c r="K129" s="2074">
        <v>4.68</v>
      </c>
      <c r="L129" s="2074"/>
      <c r="M129" s="2074"/>
      <c r="N129" s="2074"/>
      <c r="O129" s="2074"/>
      <c r="P129" s="2074"/>
      <c r="Q129" s="1275">
        <f t="shared" si="8"/>
        <v>4.6449999999999996</v>
      </c>
      <c r="R129" s="314"/>
      <c r="S129" s="463"/>
      <c r="T129" s="316"/>
      <c r="U129" s="317"/>
      <c r="V129" s="1281">
        <v>1</v>
      </c>
      <c r="X129" s="565" t="s">
        <v>742</v>
      </c>
      <c r="Y129" s="561">
        <v>45</v>
      </c>
      <c r="Z129" s="561">
        <v>51</v>
      </c>
      <c r="AA129" s="559"/>
      <c r="AB129" s="561">
        <v>44</v>
      </c>
      <c r="AC129" s="561">
        <v>49</v>
      </c>
    </row>
    <row r="130" spans="1:29" ht="57.75" customHeight="1" x14ac:dyDescent="0.2">
      <c r="A130" s="2060"/>
      <c r="B130" s="2063" t="s">
        <v>1019</v>
      </c>
      <c r="C130" s="1377" t="s">
        <v>1018</v>
      </c>
      <c r="D130" s="2073">
        <v>0.9</v>
      </c>
      <c r="E130" s="1890">
        <v>1</v>
      </c>
      <c r="F130" s="1890"/>
      <c r="G130" s="1890"/>
      <c r="H130" s="1890"/>
      <c r="I130" s="1890"/>
      <c r="J130" s="1890"/>
      <c r="K130" s="1888">
        <f>14656/14656</f>
        <v>1</v>
      </c>
      <c r="L130" s="1888"/>
      <c r="M130" s="1888"/>
      <c r="N130" s="1888"/>
      <c r="O130" s="1888"/>
      <c r="P130" s="1888"/>
      <c r="Q130" s="1275">
        <f t="shared" si="8"/>
        <v>1</v>
      </c>
      <c r="R130" s="314"/>
      <c r="S130" s="463"/>
      <c r="T130" s="316"/>
      <c r="U130" s="317"/>
      <c r="V130" s="2070">
        <v>1</v>
      </c>
      <c r="X130" s="565" t="s">
        <v>117</v>
      </c>
      <c r="Y130" s="562">
        <f>SUM(Y126:Y129)</f>
        <v>200</v>
      </c>
      <c r="Z130" s="562">
        <f>SUM(Z126:Z129)</f>
        <v>292</v>
      </c>
      <c r="AA130" s="560"/>
      <c r="AB130" s="562">
        <f>SUM(AB126:AB129)</f>
        <v>197</v>
      </c>
      <c r="AC130" s="562">
        <f>SUM(AC126:AC129)</f>
        <v>288</v>
      </c>
    </row>
    <row r="131" spans="1:29" ht="61.5" customHeight="1" x14ac:dyDescent="0.2">
      <c r="A131" s="2060"/>
      <c r="B131" s="2063"/>
      <c r="C131" s="1377" t="s">
        <v>713</v>
      </c>
      <c r="D131" s="2073"/>
      <c r="E131" s="1889">
        <f>8576/8576</f>
        <v>1</v>
      </c>
      <c r="F131" s="1889"/>
      <c r="G131" s="1889"/>
      <c r="H131" s="1889"/>
      <c r="I131" s="1889"/>
      <c r="J131" s="1889"/>
      <c r="K131" s="1889">
        <f>8576/8576</f>
        <v>1</v>
      </c>
      <c r="L131" s="1889"/>
      <c r="M131" s="1889"/>
      <c r="N131" s="1889"/>
      <c r="O131" s="1889"/>
      <c r="P131" s="1889"/>
      <c r="Q131" s="1275">
        <f t="shared" si="8"/>
        <v>1</v>
      </c>
      <c r="R131" s="314"/>
      <c r="S131" s="463"/>
      <c r="T131" s="316"/>
      <c r="U131" s="317"/>
      <c r="V131" s="2068"/>
      <c r="Y131" s="543">
        <f>Y130/Z130</f>
        <v>0.68493150684931503</v>
      </c>
    </row>
    <row r="132" spans="1:29" ht="61.5" customHeight="1" x14ac:dyDescent="0.2">
      <c r="A132" s="2060"/>
      <c r="B132" s="2063"/>
      <c r="C132" s="1377" t="s">
        <v>714</v>
      </c>
      <c r="D132" s="2073"/>
      <c r="E132" s="1889">
        <v>1</v>
      </c>
      <c r="F132" s="1889"/>
      <c r="G132" s="1889"/>
      <c r="H132" s="1889"/>
      <c r="I132" s="1889"/>
      <c r="J132" s="1889"/>
      <c r="K132" s="1889">
        <f>6580/6580</f>
        <v>1</v>
      </c>
      <c r="L132" s="1889"/>
      <c r="M132" s="1889"/>
      <c r="N132" s="1889"/>
      <c r="O132" s="1889"/>
      <c r="P132" s="1889"/>
      <c r="Q132" s="1275">
        <f t="shared" si="8"/>
        <v>1</v>
      </c>
      <c r="R132" s="314"/>
      <c r="S132" s="463"/>
      <c r="T132" s="316"/>
      <c r="U132" s="317"/>
      <c r="V132" s="2068"/>
    </row>
    <row r="133" spans="1:29" ht="54.75" customHeight="1" thickBot="1" x14ac:dyDescent="0.25">
      <c r="A133" s="2061"/>
      <c r="B133" s="2082"/>
      <c r="C133" s="1544" t="s">
        <v>715</v>
      </c>
      <c r="D133" s="2083"/>
      <c r="E133" s="2072">
        <f>12640/12640</f>
        <v>1</v>
      </c>
      <c r="F133" s="2072"/>
      <c r="G133" s="2072"/>
      <c r="H133" s="2072"/>
      <c r="I133" s="2072"/>
      <c r="J133" s="2072"/>
      <c r="K133" s="2075">
        <f>12480/12480</f>
        <v>1</v>
      </c>
      <c r="L133" s="2075"/>
      <c r="M133" s="2075"/>
      <c r="N133" s="2075"/>
      <c r="O133" s="2075"/>
      <c r="P133" s="2075"/>
      <c r="Q133" s="1562">
        <f t="shared" si="8"/>
        <v>1</v>
      </c>
      <c r="R133" s="1563"/>
      <c r="S133" s="1564"/>
      <c r="T133" s="1283"/>
      <c r="U133" s="1284"/>
      <c r="V133" s="2071"/>
    </row>
    <row r="134" spans="1:29" ht="81.75" customHeight="1" x14ac:dyDescent="0.2">
      <c r="A134" s="2076" t="s">
        <v>448</v>
      </c>
      <c r="B134" s="1673" t="s">
        <v>1011</v>
      </c>
      <c r="C134" s="1398" t="s">
        <v>458</v>
      </c>
      <c r="D134" s="1674" t="s">
        <v>626</v>
      </c>
      <c r="E134" s="1775">
        <v>0.125</v>
      </c>
      <c r="F134" s="1775"/>
      <c r="G134" s="1775"/>
      <c r="H134" s="1775"/>
      <c r="I134" s="1775"/>
      <c r="J134" s="1775"/>
      <c r="K134" s="1775"/>
      <c r="L134" s="1775"/>
      <c r="M134" s="1775"/>
      <c r="N134" s="1775"/>
      <c r="O134" s="1775"/>
      <c r="P134" s="1775"/>
      <c r="Q134" s="1276">
        <f t="shared" si="8"/>
        <v>0.125</v>
      </c>
      <c r="R134" s="1557"/>
      <c r="S134" s="1277"/>
      <c r="T134" s="1278"/>
      <c r="U134" s="1279">
        <v>1</v>
      </c>
      <c r="V134" s="1280">
        <v>1</v>
      </c>
      <c r="X134" s="477">
        <f>4.85*4</f>
        <v>19.399999999999999</v>
      </c>
    </row>
    <row r="135" spans="1:29" ht="97.5" customHeight="1" thickBot="1" x14ac:dyDescent="0.25">
      <c r="A135" s="2077"/>
      <c r="B135" s="1675" t="s">
        <v>1010</v>
      </c>
      <c r="C135" s="1544" t="s">
        <v>460</v>
      </c>
      <c r="D135" s="1676">
        <v>4</v>
      </c>
      <c r="E135" s="1989">
        <v>4.58</v>
      </c>
      <c r="F135" s="1989"/>
      <c r="G135" s="1989"/>
      <c r="H135" s="1989"/>
      <c r="I135" s="1989"/>
      <c r="J135" s="1989"/>
      <c r="K135" s="1989">
        <v>4.67</v>
      </c>
      <c r="L135" s="1989"/>
      <c r="M135" s="1989"/>
      <c r="N135" s="1989"/>
      <c r="O135" s="1989"/>
      <c r="P135" s="1989"/>
      <c r="Q135" s="1562">
        <f t="shared" si="8"/>
        <v>4.625</v>
      </c>
      <c r="R135" s="1563"/>
      <c r="S135" s="1564"/>
      <c r="T135" s="1283"/>
      <c r="U135" s="1284"/>
      <c r="V135" s="1285">
        <v>1</v>
      </c>
    </row>
    <row r="136" spans="1:29" ht="99.75" customHeight="1" x14ac:dyDescent="0.2">
      <c r="A136" s="2078" t="s">
        <v>450</v>
      </c>
      <c r="B136" s="1665" t="s">
        <v>1188</v>
      </c>
      <c r="C136" s="1398" t="s">
        <v>619</v>
      </c>
      <c r="D136" s="1666">
        <v>0.03</v>
      </c>
      <c r="E136" s="2080">
        <f>6/117</f>
        <v>5.128205128205128E-2</v>
      </c>
      <c r="F136" s="2080"/>
      <c r="G136" s="2080"/>
      <c r="H136" s="2080"/>
      <c r="I136" s="2080"/>
      <c r="J136" s="2080"/>
      <c r="K136" s="2080"/>
      <c r="L136" s="2080"/>
      <c r="M136" s="2080"/>
      <c r="N136" s="2080"/>
      <c r="O136" s="2080"/>
      <c r="P136" s="2080"/>
      <c r="Q136" s="1276">
        <f t="shared" si="8"/>
        <v>5.128205128205128E-2</v>
      </c>
      <c r="R136" s="1557"/>
      <c r="S136" s="1277"/>
      <c r="T136" s="1278"/>
      <c r="U136" s="1279">
        <v>1</v>
      </c>
      <c r="V136" s="1280">
        <v>1</v>
      </c>
    </row>
    <row r="137" spans="1:29" ht="83.25" customHeight="1" thickBot="1" x14ac:dyDescent="0.25">
      <c r="A137" s="2079"/>
      <c r="B137" s="1677" t="s">
        <v>1189</v>
      </c>
      <c r="C137" s="1544" t="s">
        <v>456</v>
      </c>
      <c r="D137" s="1561">
        <v>0.03</v>
      </c>
      <c r="E137" s="2081">
        <f>761/2199</f>
        <v>0.34606639381537063</v>
      </c>
      <c r="F137" s="2081"/>
      <c r="G137" s="2081"/>
      <c r="H137" s="2081"/>
      <c r="I137" s="2081"/>
      <c r="J137" s="2081"/>
      <c r="K137" s="2081"/>
      <c r="L137" s="2081"/>
      <c r="M137" s="2081"/>
      <c r="N137" s="2081"/>
      <c r="O137" s="2081"/>
      <c r="P137" s="2081"/>
      <c r="Q137" s="1562">
        <f t="shared" si="8"/>
        <v>0.34606639381537063</v>
      </c>
      <c r="R137" s="1563"/>
      <c r="S137" s="1564"/>
      <c r="T137" s="1283"/>
      <c r="U137" s="1284"/>
      <c r="V137" s="1285">
        <v>1</v>
      </c>
      <c r="X137" s="811" t="s">
        <v>735</v>
      </c>
    </row>
    <row r="138" spans="1:29" ht="79.5" customHeight="1" x14ac:dyDescent="0.2">
      <c r="A138" s="2094" t="s">
        <v>449</v>
      </c>
      <c r="B138" s="1678" t="s">
        <v>1033</v>
      </c>
      <c r="C138" s="1398" t="s">
        <v>1034</v>
      </c>
      <c r="D138" s="1679" t="s">
        <v>1035</v>
      </c>
      <c r="E138" s="2097" t="s">
        <v>1035</v>
      </c>
      <c r="F138" s="2097"/>
      <c r="G138" s="2097"/>
      <c r="H138" s="2097"/>
      <c r="I138" s="2097"/>
      <c r="J138" s="2097"/>
      <c r="K138" s="1775">
        <v>4.7199999999999999E-2</v>
      </c>
      <c r="L138" s="1776"/>
      <c r="M138" s="1776"/>
      <c r="N138" s="1776"/>
      <c r="O138" s="1776"/>
      <c r="P138" s="1776"/>
      <c r="Q138" s="1276">
        <f t="shared" si="8"/>
        <v>4.7199999999999999E-2</v>
      </c>
      <c r="R138" s="1557"/>
      <c r="S138" s="1277"/>
      <c r="T138" s="1278"/>
      <c r="U138" s="1279">
        <v>1</v>
      </c>
      <c r="V138" s="1280">
        <v>1</v>
      </c>
    </row>
    <row r="139" spans="1:29" ht="79.5" customHeight="1" x14ac:dyDescent="0.2">
      <c r="A139" s="2095"/>
      <c r="B139" s="670" t="s">
        <v>1016</v>
      </c>
      <c r="C139" s="1377" t="s">
        <v>1017</v>
      </c>
      <c r="D139" s="1680">
        <v>0.9</v>
      </c>
      <c r="E139" s="1713">
        <v>0.99399999999999999</v>
      </c>
      <c r="F139" s="1714"/>
      <c r="G139" s="1714"/>
      <c r="H139" s="1714"/>
      <c r="I139" s="1714"/>
      <c r="J139" s="1714"/>
      <c r="K139" s="1713">
        <v>0.96430000000000005</v>
      </c>
      <c r="L139" s="1714"/>
      <c r="M139" s="1714"/>
      <c r="N139" s="1714"/>
      <c r="O139" s="1714"/>
      <c r="P139" s="1714"/>
      <c r="Q139" s="1275">
        <f t="shared" si="8"/>
        <v>0.97914999999999996</v>
      </c>
      <c r="R139" s="314"/>
      <c r="S139" s="463"/>
      <c r="T139" s="316"/>
      <c r="U139" s="317"/>
      <c r="V139" s="1281">
        <v>1</v>
      </c>
    </row>
    <row r="140" spans="1:29" ht="79.5" customHeight="1" x14ac:dyDescent="0.2">
      <c r="A140" s="2095"/>
      <c r="B140" s="670" t="s">
        <v>1055</v>
      </c>
      <c r="C140" s="1377" t="s">
        <v>1056</v>
      </c>
      <c r="D140" s="1680">
        <v>1</v>
      </c>
      <c r="E140" s="1713">
        <f>87/121</f>
        <v>0.71900826446280997</v>
      </c>
      <c r="F140" s="1714"/>
      <c r="G140" s="1714"/>
      <c r="H140" s="1714"/>
      <c r="I140" s="1714"/>
      <c r="J140" s="1714"/>
      <c r="K140" s="1713">
        <v>0.81820000000000004</v>
      </c>
      <c r="L140" s="1714"/>
      <c r="M140" s="1714"/>
      <c r="N140" s="1714"/>
      <c r="O140" s="1714"/>
      <c r="P140" s="1714"/>
      <c r="Q140" s="1275">
        <f t="shared" si="8"/>
        <v>0.768604132231405</v>
      </c>
      <c r="R140" s="314"/>
      <c r="S140" s="463"/>
      <c r="T140" s="316"/>
      <c r="U140" s="317"/>
      <c r="V140" s="1281">
        <v>1</v>
      </c>
    </row>
    <row r="141" spans="1:29" ht="88.5" customHeight="1" x14ac:dyDescent="0.2">
      <c r="A141" s="2095"/>
      <c r="B141" s="395" t="s">
        <v>812</v>
      </c>
      <c r="C141" s="1377" t="s">
        <v>813</v>
      </c>
      <c r="D141" s="1681">
        <v>50</v>
      </c>
      <c r="E141" s="1713">
        <f>348/600</f>
        <v>0.57999999999999996</v>
      </c>
      <c r="F141" s="1713"/>
      <c r="G141" s="1713"/>
      <c r="H141" s="1713"/>
      <c r="I141" s="1713"/>
      <c r="J141" s="1713"/>
      <c r="K141" s="1713"/>
      <c r="L141" s="1713"/>
      <c r="M141" s="1713"/>
      <c r="N141" s="1713"/>
      <c r="O141" s="1713"/>
      <c r="P141" s="1713"/>
      <c r="Q141" s="1275">
        <f t="shared" si="8"/>
        <v>0.57999999999999996</v>
      </c>
      <c r="R141" s="314"/>
      <c r="S141" s="463"/>
      <c r="T141" s="316"/>
      <c r="U141" s="317"/>
      <c r="V141" s="1281">
        <v>1</v>
      </c>
    </row>
    <row r="142" spans="1:29" ht="108" customHeight="1" x14ac:dyDescent="0.2">
      <c r="A142" s="2095"/>
      <c r="B142" s="670" t="s">
        <v>1023</v>
      </c>
      <c r="C142" s="1377" t="s">
        <v>1024</v>
      </c>
      <c r="D142" s="1680">
        <v>0.8</v>
      </c>
      <c r="E142" s="1713">
        <f>42/43</f>
        <v>0.97674418604651159</v>
      </c>
      <c r="F142" s="1714"/>
      <c r="G142" s="1714"/>
      <c r="H142" s="1714"/>
      <c r="I142" s="1714"/>
      <c r="J142" s="1714"/>
      <c r="K142" s="1713">
        <v>0.92</v>
      </c>
      <c r="L142" s="1714"/>
      <c r="M142" s="1714"/>
      <c r="N142" s="1714"/>
      <c r="O142" s="1714"/>
      <c r="P142" s="1714"/>
      <c r="Q142" s="1275">
        <f t="shared" si="8"/>
        <v>0.94837209302325576</v>
      </c>
      <c r="R142" s="314"/>
      <c r="S142" s="463"/>
      <c r="T142" s="316"/>
      <c r="U142" s="317"/>
      <c r="V142" s="1281">
        <v>1</v>
      </c>
    </row>
    <row r="143" spans="1:29" ht="87" customHeight="1" x14ac:dyDescent="0.2">
      <c r="A143" s="2095"/>
      <c r="B143" s="429" t="s">
        <v>814</v>
      </c>
      <c r="C143" s="1377" t="s">
        <v>815</v>
      </c>
      <c r="D143" s="1681">
        <v>70</v>
      </c>
      <c r="E143" s="1713">
        <f>325/350</f>
        <v>0.9285714285714286</v>
      </c>
      <c r="F143" s="1714"/>
      <c r="G143" s="1714"/>
      <c r="H143" s="1714"/>
      <c r="I143" s="1714"/>
      <c r="J143" s="1714"/>
      <c r="K143" s="1713">
        <f>275/200</f>
        <v>1.375</v>
      </c>
      <c r="L143" s="1714"/>
      <c r="M143" s="1714"/>
      <c r="N143" s="1714"/>
      <c r="O143" s="1714"/>
      <c r="P143" s="1714"/>
      <c r="Q143" s="1275">
        <f t="shared" si="8"/>
        <v>1.1517857142857144</v>
      </c>
      <c r="R143" s="314"/>
      <c r="S143" s="463"/>
      <c r="T143" s="316"/>
      <c r="U143" s="317"/>
      <c r="V143" s="1281">
        <v>1</v>
      </c>
    </row>
    <row r="144" spans="1:29" ht="62.25" customHeight="1" x14ac:dyDescent="0.2">
      <c r="A144" s="2095"/>
      <c r="B144" s="429" t="s">
        <v>816</v>
      </c>
      <c r="C144" s="1377" t="s">
        <v>817</v>
      </c>
      <c r="D144" s="1680">
        <v>0.8</v>
      </c>
      <c r="E144" s="1713">
        <f>2/2</f>
        <v>1</v>
      </c>
      <c r="F144" s="1714"/>
      <c r="G144" s="1714"/>
      <c r="H144" s="1714"/>
      <c r="I144" s="1714"/>
      <c r="J144" s="1714"/>
      <c r="K144" s="1713">
        <f>4/4</f>
        <v>1</v>
      </c>
      <c r="L144" s="1714"/>
      <c r="M144" s="1714"/>
      <c r="N144" s="1714"/>
      <c r="O144" s="1714"/>
      <c r="P144" s="1714"/>
      <c r="Q144" s="1275">
        <f t="shared" si="8"/>
        <v>1</v>
      </c>
      <c r="R144" s="314"/>
      <c r="S144" s="463"/>
      <c r="T144" s="316"/>
      <c r="U144" s="317"/>
      <c r="V144" s="1281">
        <v>1</v>
      </c>
    </row>
    <row r="145" spans="1:24" ht="62.25" customHeight="1" x14ac:dyDescent="0.2">
      <c r="A145" s="2095"/>
      <c r="B145" s="429" t="s">
        <v>819</v>
      </c>
      <c r="C145" s="1377" t="s">
        <v>820</v>
      </c>
      <c r="D145" s="1680">
        <v>0.8</v>
      </c>
      <c r="E145" s="1713">
        <f>194/204</f>
        <v>0.9509803921568627</v>
      </c>
      <c r="F145" s="1714"/>
      <c r="G145" s="1714"/>
      <c r="H145" s="1714"/>
      <c r="I145" s="1714"/>
      <c r="J145" s="1714"/>
      <c r="K145" s="1713">
        <f>193/206</f>
        <v>0.93689320388349517</v>
      </c>
      <c r="L145" s="1714"/>
      <c r="M145" s="1714"/>
      <c r="N145" s="1714"/>
      <c r="O145" s="1714"/>
      <c r="P145" s="1714"/>
      <c r="Q145" s="1275">
        <f t="shared" si="8"/>
        <v>0.94393679802017894</v>
      </c>
      <c r="R145" s="314"/>
      <c r="S145" s="463"/>
      <c r="T145" s="316"/>
      <c r="U145" s="317"/>
      <c r="V145" s="1281">
        <v>1</v>
      </c>
    </row>
    <row r="146" spans="1:24" ht="74.25" customHeight="1" thickBot="1" x14ac:dyDescent="0.25">
      <c r="A146" s="2096"/>
      <c r="B146" s="1677" t="s">
        <v>818</v>
      </c>
      <c r="C146" s="1544" t="s">
        <v>821</v>
      </c>
      <c r="D146" s="1682">
        <v>0.8</v>
      </c>
      <c r="E146" s="2057">
        <f>4/4</f>
        <v>1</v>
      </c>
      <c r="F146" s="2058"/>
      <c r="G146" s="2058"/>
      <c r="H146" s="2058"/>
      <c r="I146" s="2058"/>
      <c r="J146" s="2058"/>
      <c r="K146" s="2057">
        <f>11/11</f>
        <v>1</v>
      </c>
      <c r="L146" s="2058"/>
      <c r="M146" s="2058"/>
      <c r="N146" s="2058"/>
      <c r="O146" s="2058"/>
      <c r="P146" s="2058"/>
      <c r="Q146" s="1562">
        <f t="shared" si="8"/>
        <v>1</v>
      </c>
      <c r="R146" s="1563"/>
      <c r="S146" s="1564"/>
      <c r="T146" s="1283"/>
      <c r="U146" s="1284"/>
      <c r="V146" s="1285">
        <v>1</v>
      </c>
      <c r="X146" s="811">
        <f>4+2+36+26</f>
        <v>68</v>
      </c>
    </row>
    <row r="147" spans="1:24" ht="105" customHeight="1" x14ac:dyDescent="0.2">
      <c r="A147" s="2088" t="s">
        <v>461</v>
      </c>
      <c r="B147" s="2090" t="s">
        <v>1305</v>
      </c>
      <c r="C147" s="1398" t="s">
        <v>462</v>
      </c>
      <c r="D147" s="2092">
        <v>0.8</v>
      </c>
      <c r="E147" s="2080">
        <v>0.90669999999999995</v>
      </c>
      <c r="F147" s="2080"/>
      <c r="G147" s="2080"/>
      <c r="H147" s="2080"/>
      <c r="I147" s="2080"/>
      <c r="J147" s="2080"/>
      <c r="K147" s="2080"/>
      <c r="L147" s="2080"/>
      <c r="M147" s="2080"/>
      <c r="N147" s="2080"/>
      <c r="O147" s="2080"/>
      <c r="P147" s="2080"/>
      <c r="Q147" s="2084">
        <f t="shared" si="8"/>
        <v>0.90669999999999995</v>
      </c>
      <c r="R147" s="1557"/>
      <c r="S147" s="1277"/>
      <c r="T147" s="1278"/>
      <c r="U147" s="1279"/>
      <c r="V147" s="2086">
        <v>1</v>
      </c>
    </row>
    <row r="148" spans="1:24" ht="143.25" customHeight="1" thickBot="1" x14ac:dyDescent="0.25">
      <c r="A148" s="2089"/>
      <c r="B148" s="2091"/>
      <c r="C148" s="1544" t="s">
        <v>463</v>
      </c>
      <c r="D148" s="2093"/>
      <c r="E148" s="2081"/>
      <c r="F148" s="2081"/>
      <c r="G148" s="2081"/>
      <c r="H148" s="2081"/>
      <c r="I148" s="2081"/>
      <c r="J148" s="2081"/>
      <c r="K148" s="2081"/>
      <c r="L148" s="2081"/>
      <c r="M148" s="2081"/>
      <c r="N148" s="2081"/>
      <c r="O148" s="2081"/>
      <c r="P148" s="2081"/>
      <c r="Q148" s="2085"/>
      <c r="R148" s="1641"/>
      <c r="S148" s="1642"/>
      <c r="T148" s="1642"/>
      <c r="U148" s="1671"/>
      <c r="V148" s="2087"/>
    </row>
    <row r="149" spans="1:24" ht="18" x14ac:dyDescent="0.2">
      <c r="B149" s="21"/>
      <c r="E149" s="422"/>
      <c r="F149" s="422"/>
      <c r="G149" s="422"/>
      <c r="H149" s="422"/>
      <c r="I149" s="422"/>
      <c r="J149" s="422"/>
      <c r="K149" s="422"/>
      <c r="L149" s="422"/>
      <c r="M149" s="422"/>
      <c r="N149" s="422"/>
      <c r="O149" s="422"/>
      <c r="P149" s="422"/>
      <c r="Q149" s="29"/>
      <c r="R149" s="24"/>
      <c r="U149" s="29"/>
      <c r="V149" s="1000">
        <f>SUM(V8:V148)</f>
        <v>92</v>
      </c>
    </row>
    <row r="150" spans="1:24" x14ac:dyDescent="0.2">
      <c r="B150" s="21"/>
      <c r="E150" s="422"/>
      <c r="F150" s="422"/>
      <c r="G150" s="422"/>
      <c r="H150" s="422"/>
      <c r="I150" s="422"/>
      <c r="J150" s="422"/>
      <c r="K150" s="422"/>
      <c r="L150" s="422"/>
      <c r="M150" s="422"/>
      <c r="N150" s="422"/>
      <c r="O150" s="422"/>
      <c r="P150" s="422"/>
      <c r="Q150" s="29"/>
      <c r="R150" s="24"/>
      <c r="U150" s="29"/>
    </row>
    <row r="151" spans="1:24" x14ac:dyDescent="0.2">
      <c r="B151" s="21"/>
      <c r="E151" s="422"/>
      <c r="F151" s="422"/>
      <c r="G151" s="422"/>
      <c r="H151" s="422"/>
      <c r="I151" s="422"/>
      <c r="J151" s="422"/>
      <c r="K151" s="422"/>
      <c r="L151" s="422"/>
      <c r="M151" s="422"/>
      <c r="N151" s="422"/>
      <c r="O151" s="422"/>
      <c r="P151" s="422"/>
      <c r="Q151" s="29"/>
      <c r="R151" s="24"/>
      <c r="U151" s="29"/>
      <c r="V151" s="29"/>
    </row>
    <row r="152" spans="1:24" x14ac:dyDescent="0.2">
      <c r="B152" s="21"/>
      <c r="E152" s="422"/>
      <c r="F152" s="422"/>
      <c r="G152" s="422"/>
      <c r="H152" s="422"/>
      <c r="I152" s="422"/>
      <c r="J152" s="422"/>
      <c r="K152" s="422"/>
      <c r="L152" s="422"/>
      <c r="M152" s="422"/>
      <c r="N152" s="422"/>
      <c r="O152" s="422"/>
      <c r="P152" s="422"/>
      <c r="Q152" s="29"/>
      <c r="R152" s="24"/>
      <c r="U152" s="29"/>
      <c r="V152" s="29"/>
    </row>
    <row r="153" spans="1:24" ht="105" customHeight="1" x14ac:dyDescent="0.2">
      <c r="B153" s="21"/>
      <c r="C153" s="1683" t="s">
        <v>735</v>
      </c>
      <c r="E153" s="422"/>
      <c r="F153" s="422"/>
      <c r="G153" s="422"/>
      <c r="H153" s="422"/>
      <c r="I153" s="422"/>
      <c r="J153" s="422"/>
      <c r="K153" s="422"/>
      <c r="L153" s="422"/>
      <c r="M153" s="422"/>
      <c r="N153" s="422"/>
      <c r="O153" s="422"/>
      <c r="P153" s="422"/>
      <c r="Q153" s="29"/>
      <c r="R153" s="24"/>
      <c r="U153" s="29"/>
      <c r="V153" s="29"/>
    </row>
    <row r="154" spans="1:24" x14ac:dyDescent="0.2">
      <c r="B154" s="21"/>
      <c r="E154" s="422"/>
      <c r="F154" s="422"/>
      <c r="G154" s="422"/>
      <c r="H154" s="422"/>
      <c r="I154" s="422"/>
      <c r="J154" s="422"/>
      <c r="K154" s="422"/>
      <c r="L154" s="422"/>
      <c r="M154" s="422"/>
      <c r="N154" s="422"/>
      <c r="O154" s="422"/>
      <c r="P154" s="422"/>
      <c r="Q154" s="29"/>
      <c r="R154" s="24"/>
      <c r="U154" s="29"/>
      <c r="V154" s="29"/>
    </row>
    <row r="155" spans="1:24" x14ac:dyDescent="0.2">
      <c r="B155" s="21"/>
      <c r="E155" s="422"/>
      <c r="F155" s="422"/>
      <c r="G155" s="422"/>
      <c r="H155" s="422"/>
      <c r="I155" s="422"/>
      <c r="J155" s="422"/>
      <c r="K155" s="422"/>
      <c r="L155" s="422"/>
      <c r="M155" s="422"/>
      <c r="N155" s="422"/>
      <c r="O155" s="422"/>
      <c r="P155" s="422"/>
      <c r="Q155" s="29"/>
      <c r="R155" s="24"/>
      <c r="U155" s="29"/>
      <c r="V155" s="29"/>
    </row>
    <row r="156" spans="1:24" x14ac:dyDescent="0.2">
      <c r="B156" s="21"/>
      <c r="E156" s="422"/>
      <c r="F156" s="422"/>
      <c r="G156" s="422"/>
      <c r="H156" s="422"/>
      <c r="I156" s="422"/>
      <c r="J156" s="422"/>
      <c r="K156" s="422"/>
      <c r="L156" s="422"/>
      <c r="M156" s="422"/>
      <c r="N156" s="422"/>
      <c r="O156" s="422"/>
      <c r="P156" s="422"/>
      <c r="Q156" s="29"/>
      <c r="R156" s="24"/>
      <c r="U156" s="29"/>
      <c r="V156" s="29"/>
    </row>
    <row r="157" spans="1:24" x14ac:dyDescent="0.2">
      <c r="B157" s="21"/>
      <c r="E157" s="422"/>
      <c r="F157" s="422"/>
      <c r="G157" s="422"/>
      <c r="H157" s="422"/>
      <c r="I157" s="422"/>
      <c r="J157" s="422"/>
      <c r="K157" s="422"/>
      <c r="L157" s="422"/>
      <c r="M157" s="422"/>
      <c r="N157" s="422"/>
      <c r="O157" s="422"/>
      <c r="P157" s="422"/>
      <c r="Q157" s="29"/>
      <c r="R157" s="24"/>
      <c r="U157" s="29"/>
      <c r="V157" s="29"/>
    </row>
    <row r="158" spans="1:24" x14ac:dyDescent="0.2">
      <c r="B158" s="21"/>
      <c r="E158" s="422"/>
      <c r="F158" s="422"/>
      <c r="G158" s="422"/>
      <c r="H158" s="422"/>
      <c r="I158" s="422"/>
      <c r="J158" s="422"/>
      <c r="K158" s="422"/>
      <c r="L158" s="422"/>
      <c r="M158" s="422"/>
      <c r="N158" s="422"/>
      <c r="O158" s="422"/>
      <c r="P158" s="422"/>
      <c r="Q158" s="29"/>
      <c r="R158" s="24"/>
      <c r="U158" s="29"/>
      <c r="V158" s="29"/>
    </row>
    <row r="159" spans="1:24" x14ac:dyDescent="0.2">
      <c r="B159" s="21"/>
      <c r="E159" s="422"/>
      <c r="F159" s="422"/>
      <c r="G159" s="422"/>
      <c r="H159" s="422"/>
      <c r="I159" s="422"/>
      <c r="J159" s="422"/>
      <c r="K159" s="422"/>
      <c r="L159" s="422"/>
      <c r="M159" s="422"/>
      <c r="N159" s="422"/>
      <c r="O159" s="422"/>
      <c r="P159" s="422"/>
      <c r="Q159" s="29"/>
      <c r="R159" s="24"/>
      <c r="U159" s="29"/>
      <c r="V159" s="29"/>
    </row>
    <row r="160" spans="1:24" x14ac:dyDescent="0.2">
      <c r="B160" s="21"/>
      <c r="E160" s="422"/>
      <c r="F160" s="422"/>
      <c r="G160" s="422"/>
      <c r="H160" s="422"/>
      <c r="I160" s="422"/>
      <c r="J160" s="422"/>
      <c r="K160" s="422"/>
      <c r="L160" s="422"/>
      <c r="M160" s="422"/>
      <c r="N160" s="422"/>
      <c r="O160" s="422"/>
      <c r="P160" s="422"/>
      <c r="Q160" s="29"/>
      <c r="R160" s="24"/>
      <c r="U160" s="29"/>
      <c r="V160" s="29"/>
    </row>
    <row r="161" spans="2:22" x14ac:dyDescent="0.2">
      <c r="B161" s="21"/>
      <c r="E161" s="422"/>
      <c r="F161" s="422"/>
      <c r="G161" s="422"/>
      <c r="H161" s="422"/>
      <c r="I161" s="422"/>
      <c r="J161" s="422"/>
      <c r="K161" s="422"/>
      <c r="L161" s="422"/>
      <c r="M161" s="422"/>
      <c r="N161" s="422"/>
      <c r="O161" s="422"/>
      <c r="P161" s="422"/>
      <c r="Q161" s="29"/>
      <c r="R161" s="24"/>
      <c r="U161" s="29"/>
      <c r="V161" s="29"/>
    </row>
    <row r="162" spans="2:22" x14ac:dyDescent="0.2">
      <c r="B162" s="21"/>
      <c r="E162" s="422"/>
      <c r="F162" s="422"/>
      <c r="G162" s="422"/>
      <c r="H162" s="422"/>
      <c r="I162" s="422"/>
      <c r="J162" s="422"/>
      <c r="K162" s="422"/>
      <c r="L162" s="422"/>
      <c r="M162" s="422"/>
      <c r="N162" s="422"/>
      <c r="O162" s="422"/>
      <c r="P162" s="422"/>
      <c r="Q162" s="29"/>
      <c r="R162" s="24"/>
      <c r="U162" s="29"/>
      <c r="V162" s="29"/>
    </row>
    <row r="163" spans="2:22" x14ac:dyDescent="0.2">
      <c r="B163" s="21"/>
      <c r="E163" s="422"/>
      <c r="F163" s="422"/>
      <c r="G163" s="422"/>
      <c r="H163" s="422"/>
      <c r="I163" s="422"/>
      <c r="J163" s="422"/>
      <c r="K163" s="422"/>
      <c r="L163" s="422"/>
      <c r="M163" s="422"/>
      <c r="N163" s="422"/>
      <c r="O163" s="422"/>
      <c r="P163" s="422"/>
      <c r="Q163" s="29"/>
      <c r="R163" s="24"/>
      <c r="U163" s="29"/>
      <c r="V163" s="29"/>
    </row>
    <row r="164" spans="2:22" x14ac:dyDescent="0.2">
      <c r="B164" s="21"/>
      <c r="E164" s="422"/>
      <c r="F164" s="422"/>
      <c r="G164" s="422"/>
      <c r="H164" s="422"/>
      <c r="I164" s="422"/>
      <c r="J164" s="422"/>
      <c r="K164" s="422"/>
      <c r="L164" s="422"/>
      <c r="M164" s="422"/>
      <c r="N164" s="422"/>
      <c r="O164" s="422"/>
      <c r="P164" s="422"/>
      <c r="Q164" s="29"/>
      <c r="R164" s="24"/>
      <c r="U164" s="29"/>
      <c r="V164" s="29"/>
    </row>
    <row r="165" spans="2:22" x14ac:dyDescent="0.2">
      <c r="B165" s="21"/>
      <c r="E165" s="422"/>
      <c r="F165" s="422"/>
      <c r="G165" s="422"/>
      <c r="H165" s="422"/>
      <c r="I165" s="422"/>
      <c r="J165" s="422"/>
      <c r="K165" s="422"/>
      <c r="L165" s="422"/>
      <c r="M165" s="422"/>
      <c r="N165" s="422"/>
      <c r="O165" s="422"/>
      <c r="P165" s="422"/>
      <c r="Q165" s="29"/>
      <c r="R165" s="24"/>
      <c r="U165" s="29"/>
      <c r="V165" s="29"/>
    </row>
    <row r="166" spans="2:22" x14ac:dyDescent="0.2">
      <c r="B166" s="21"/>
      <c r="E166" s="422"/>
      <c r="F166" s="422"/>
      <c r="G166" s="422"/>
      <c r="H166" s="422"/>
      <c r="I166" s="422"/>
      <c r="J166" s="422"/>
      <c r="K166" s="422"/>
      <c r="L166" s="422"/>
      <c r="M166" s="422"/>
      <c r="N166" s="422"/>
      <c r="O166" s="422"/>
      <c r="P166" s="422"/>
      <c r="Q166" s="29"/>
      <c r="R166" s="24"/>
      <c r="U166" s="29"/>
      <c r="V166" s="29"/>
    </row>
    <row r="167" spans="2:22" x14ac:dyDescent="0.2">
      <c r="B167" s="21"/>
      <c r="E167" s="422"/>
      <c r="F167" s="422"/>
      <c r="G167" s="422"/>
      <c r="H167" s="422"/>
      <c r="I167" s="422"/>
      <c r="J167" s="422"/>
      <c r="K167" s="422"/>
      <c r="L167" s="422"/>
      <c r="M167" s="422"/>
      <c r="N167" s="422"/>
      <c r="O167" s="422"/>
      <c r="P167" s="422"/>
      <c r="Q167" s="29"/>
      <c r="R167" s="24"/>
      <c r="U167" s="29"/>
      <c r="V167" s="29"/>
    </row>
    <row r="168" spans="2:22" x14ac:dyDescent="0.2">
      <c r="B168" s="21"/>
      <c r="E168" s="422"/>
      <c r="F168" s="422"/>
      <c r="G168" s="422"/>
      <c r="H168" s="422"/>
      <c r="I168" s="422"/>
      <c r="J168" s="422"/>
      <c r="K168" s="422"/>
      <c r="L168" s="422"/>
      <c r="M168" s="422"/>
      <c r="N168" s="422"/>
      <c r="O168" s="422"/>
      <c r="P168" s="422"/>
      <c r="Q168" s="29"/>
      <c r="R168" s="24"/>
      <c r="U168" s="29"/>
      <c r="V168" s="29"/>
    </row>
    <row r="169" spans="2:22" x14ac:dyDescent="0.2">
      <c r="B169" s="21"/>
      <c r="E169" s="422"/>
      <c r="F169" s="422"/>
      <c r="G169" s="422"/>
      <c r="H169" s="422"/>
      <c r="I169" s="422"/>
      <c r="J169" s="422"/>
      <c r="K169" s="422"/>
      <c r="L169" s="422"/>
      <c r="M169" s="422"/>
      <c r="N169" s="422"/>
      <c r="O169" s="422"/>
      <c r="P169" s="422"/>
      <c r="Q169" s="29"/>
      <c r="R169" s="24"/>
      <c r="U169" s="29"/>
      <c r="V169" s="29"/>
    </row>
    <row r="170" spans="2:22" x14ac:dyDescent="0.2">
      <c r="B170" s="21"/>
      <c r="E170" s="422"/>
      <c r="F170" s="422"/>
      <c r="G170" s="422"/>
      <c r="H170" s="422"/>
      <c r="I170" s="422"/>
      <c r="J170" s="422"/>
      <c r="K170" s="422"/>
      <c r="L170" s="422"/>
      <c r="M170" s="422"/>
      <c r="N170" s="422"/>
      <c r="O170" s="422"/>
      <c r="P170" s="422"/>
      <c r="Q170" s="29"/>
      <c r="R170" s="24"/>
      <c r="U170" s="29"/>
      <c r="V170" s="29"/>
    </row>
    <row r="171" spans="2:22" x14ac:dyDescent="0.2">
      <c r="B171" s="21"/>
      <c r="E171" s="422"/>
      <c r="F171" s="422"/>
      <c r="G171" s="422"/>
      <c r="H171" s="422"/>
      <c r="I171" s="422"/>
      <c r="J171" s="422"/>
      <c r="K171" s="422"/>
      <c r="L171" s="422"/>
      <c r="M171" s="422"/>
      <c r="N171" s="422"/>
      <c r="O171" s="422"/>
      <c r="P171" s="422"/>
      <c r="Q171" s="29"/>
      <c r="R171" s="24"/>
      <c r="U171" s="29"/>
      <c r="V171" s="29"/>
    </row>
    <row r="172" spans="2:22" x14ac:dyDescent="0.2">
      <c r="B172" s="21"/>
      <c r="E172" s="422"/>
      <c r="F172" s="422"/>
      <c r="G172" s="422"/>
      <c r="H172" s="422"/>
      <c r="I172" s="422"/>
      <c r="J172" s="422"/>
      <c r="K172" s="422"/>
      <c r="L172" s="422"/>
      <c r="M172" s="422"/>
      <c r="N172" s="422"/>
      <c r="O172" s="422"/>
      <c r="P172" s="422"/>
      <c r="Q172" s="29"/>
      <c r="R172" s="24"/>
      <c r="U172" s="29"/>
      <c r="V172" s="29"/>
    </row>
    <row r="173" spans="2:22" x14ac:dyDescent="0.2">
      <c r="B173" s="21"/>
      <c r="E173" s="422"/>
      <c r="F173" s="422"/>
      <c r="G173" s="422"/>
      <c r="H173" s="422"/>
      <c r="I173" s="422"/>
      <c r="J173" s="422"/>
      <c r="K173" s="422"/>
      <c r="L173" s="422"/>
      <c r="M173" s="422"/>
      <c r="N173" s="422"/>
      <c r="O173" s="422"/>
      <c r="P173" s="422"/>
      <c r="Q173" s="29"/>
      <c r="R173" s="24"/>
      <c r="U173" s="29"/>
      <c r="V173" s="29"/>
    </row>
    <row r="174" spans="2:22" x14ac:dyDescent="0.2">
      <c r="B174" s="21"/>
      <c r="E174" s="422"/>
      <c r="F174" s="422"/>
      <c r="G174" s="422"/>
      <c r="H174" s="422"/>
      <c r="I174" s="422"/>
      <c r="J174" s="422"/>
      <c r="K174" s="422"/>
      <c r="L174" s="422"/>
      <c r="M174" s="422"/>
      <c r="N174" s="422"/>
      <c r="O174" s="422"/>
      <c r="P174" s="422"/>
      <c r="Q174" s="29"/>
      <c r="R174" s="24"/>
      <c r="U174" s="29"/>
      <c r="V174" s="29"/>
    </row>
    <row r="175" spans="2:22" x14ac:dyDescent="0.2">
      <c r="B175" s="21"/>
      <c r="E175" s="422"/>
      <c r="F175" s="422"/>
      <c r="G175" s="422"/>
      <c r="H175" s="422"/>
      <c r="I175" s="422"/>
      <c r="J175" s="422"/>
      <c r="K175" s="422"/>
      <c r="L175" s="422"/>
      <c r="M175" s="422"/>
      <c r="N175" s="422"/>
      <c r="O175" s="422"/>
      <c r="P175" s="422"/>
      <c r="Q175" s="29"/>
      <c r="R175" s="24"/>
      <c r="U175" s="29"/>
      <c r="V175" s="29"/>
    </row>
    <row r="176" spans="2:22" x14ac:dyDescent="0.2">
      <c r="B176" s="21"/>
      <c r="E176" s="422"/>
      <c r="F176" s="422"/>
      <c r="G176" s="422"/>
      <c r="H176" s="422"/>
      <c r="I176" s="422"/>
      <c r="J176" s="422"/>
      <c r="K176" s="422"/>
      <c r="L176" s="422"/>
      <c r="M176" s="422"/>
      <c r="N176" s="422"/>
      <c r="O176" s="422"/>
      <c r="P176" s="422"/>
      <c r="Q176" s="29"/>
      <c r="R176" s="24"/>
      <c r="U176" s="29"/>
      <c r="V176" s="29"/>
    </row>
    <row r="177" spans="2:22" x14ac:dyDescent="0.2">
      <c r="B177" s="21"/>
      <c r="E177" s="422"/>
      <c r="F177" s="422"/>
      <c r="G177" s="422"/>
      <c r="H177" s="422"/>
      <c r="I177" s="422"/>
      <c r="J177" s="422"/>
      <c r="K177" s="422"/>
      <c r="L177" s="422"/>
      <c r="M177" s="422"/>
      <c r="N177" s="422"/>
      <c r="O177" s="422"/>
      <c r="P177" s="422"/>
      <c r="Q177" s="29"/>
      <c r="R177" s="24"/>
      <c r="U177" s="29"/>
      <c r="V177" s="29"/>
    </row>
    <row r="178" spans="2:22" x14ac:dyDescent="0.2">
      <c r="B178" s="21"/>
      <c r="E178" s="422"/>
      <c r="F178" s="422"/>
      <c r="G178" s="422"/>
      <c r="H178" s="422"/>
      <c r="I178" s="422"/>
      <c r="J178" s="422"/>
      <c r="K178" s="422"/>
      <c r="L178" s="422"/>
      <c r="M178" s="422"/>
      <c r="N178" s="422"/>
      <c r="O178" s="422"/>
      <c r="P178" s="422"/>
      <c r="Q178" s="29"/>
      <c r="R178" s="24"/>
      <c r="U178" s="29"/>
      <c r="V178" s="29"/>
    </row>
    <row r="179" spans="2:22" x14ac:dyDescent="0.2">
      <c r="B179" s="21"/>
      <c r="E179" s="422"/>
      <c r="F179" s="422"/>
      <c r="G179" s="422"/>
      <c r="H179" s="422"/>
      <c r="I179" s="422"/>
      <c r="J179" s="422"/>
      <c r="K179" s="422"/>
      <c r="L179" s="422"/>
      <c r="M179" s="422"/>
      <c r="N179" s="422"/>
      <c r="O179" s="422"/>
      <c r="P179" s="422"/>
      <c r="Q179" s="29"/>
      <c r="R179" s="24"/>
      <c r="U179" s="29"/>
      <c r="V179" s="29"/>
    </row>
    <row r="180" spans="2:22" x14ac:dyDescent="0.2">
      <c r="B180" s="21"/>
      <c r="E180" s="422"/>
      <c r="F180" s="422"/>
      <c r="G180" s="422"/>
      <c r="H180" s="422"/>
      <c r="I180" s="422"/>
      <c r="J180" s="422"/>
      <c r="K180" s="422"/>
      <c r="L180" s="422"/>
      <c r="M180" s="422"/>
      <c r="N180" s="422"/>
      <c r="O180" s="422"/>
      <c r="P180" s="422"/>
      <c r="Q180" s="29"/>
      <c r="R180" s="24"/>
      <c r="U180" s="29"/>
      <c r="V180" s="29"/>
    </row>
    <row r="181" spans="2:22" x14ac:dyDescent="0.2">
      <c r="B181" s="21"/>
      <c r="E181" s="422"/>
      <c r="F181" s="422"/>
      <c r="G181" s="422"/>
      <c r="H181" s="422"/>
      <c r="I181" s="422"/>
      <c r="J181" s="422"/>
      <c r="K181" s="422"/>
      <c r="L181" s="422"/>
      <c r="M181" s="422"/>
      <c r="N181" s="422"/>
      <c r="O181" s="422"/>
      <c r="P181" s="422"/>
      <c r="Q181" s="29"/>
      <c r="R181" s="24"/>
      <c r="U181" s="29"/>
      <c r="V181" s="29"/>
    </row>
    <row r="182" spans="2:22" x14ac:dyDescent="0.2">
      <c r="B182" s="21"/>
      <c r="E182" s="422"/>
      <c r="F182" s="422"/>
      <c r="G182" s="422"/>
      <c r="H182" s="422"/>
      <c r="I182" s="422"/>
      <c r="J182" s="422"/>
      <c r="K182" s="422"/>
      <c r="L182" s="422"/>
      <c r="M182" s="422"/>
      <c r="N182" s="422"/>
      <c r="O182" s="422"/>
      <c r="P182" s="422"/>
      <c r="Q182" s="29"/>
      <c r="R182" s="24"/>
      <c r="U182" s="29"/>
      <c r="V182" s="29"/>
    </row>
    <row r="183" spans="2:22" x14ac:dyDescent="0.2">
      <c r="B183" s="21"/>
      <c r="E183" s="422"/>
      <c r="F183" s="422"/>
      <c r="G183" s="422"/>
      <c r="H183" s="422"/>
      <c r="I183" s="422"/>
      <c r="J183" s="422"/>
      <c r="K183" s="422"/>
      <c r="L183" s="422"/>
      <c r="M183" s="422"/>
      <c r="N183" s="422"/>
      <c r="O183" s="422"/>
      <c r="P183" s="422"/>
      <c r="Q183" s="29"/>
      <c r="R183" s="24"/>
      <c r="U183" s="29"/>
      <c r="V183" s="29"/>
    </row>
    <row r="184" spans="2:22" x14ac:dyDescent="0.2">
      <c r="B184" s="21"/>
      <c r="E184" s="422"/>
      <c r="F184" s="422"/>
      <c r="G184" s="422"/>
      <c r="H184" s="422"/>
      <c r="I184" s="422"/>
      <c r="J184" s="422"/>
      <c r="K184" s="422"/>
      <c r="L184" s="422"/>
      <c r="M184" s="422"/>
      <c r="N184" s="422"/>
      <c r="O184" s="422"/>
      <c r="P184" s="422"/>
      <c r="Q184" s="29"/>
      <c r="R184" s="24"/>
      <c r="U184" s="29"/>
      <c r="V184" s="29"/>
    </row>
    <row r="185" spans="2:22" x14ac:dyDescent="0.2">
      <c r="B185" s="21"/>
      <c r="E185" s="422"/>
      <c r="F185" s="422"/>
      <c r="G185" s="422"/>
      <c r="H185" s="422"/>
      <c r="I185" s="422"/>
      <c r="J185" s="422"/>
      <c r="K185" s="422"/>
      <c r="L185" s="422"/>
      <c r="M185" s="422"/>
      <c r="N185" s="422"/>
      <c r="O185" s="422"/>
      <c r="P185" s="422"/>
      <c r="Q185" s="29"/>
      <c r="R185" s="24"/>
      <c r="U185" s="29"/>
      <c r="V185" s="29"/>
    </row>
    <row r="186" spans="2:22" x14ac:dyDescent="0.2">
      <c r="B186" s="21"/>
      <c r="E186" s="422"/>
      <c r="F186" s="422"/>
      <c r="G186" s="422"/>
      <c r="H186" s="422"/>
      <c r="I186" s="422"/>
      <c r="J186" s="422"/>
      <c r="K186" s="422"/>
      <c r="L186" s="422"/>
      <c r="M186" s="422"/>
      <c r="N186" s="422"/>
      <c r="O186" s="422"/>
      <c r="P186" s="422"/>
      <c r="Q186" s="29"/>
      <c r="R186" s="24"/>
      <c r="U186" s="29"/>
      <c r="V186" s="29"/>
    </row>
    <row r="187" spans="2:22" x14ac:dyDescent="0.2">
      <c r="B187" s="21"/>
      <c r="E187" s="422"/>
      <c r="F187" s="422"/>
      <c r="G187" s="422"/>
      <c r="H187" s="422"/>
      <c r="I187" s="422"/>
      <c r="J187" s="422"/>
      <c r="K187" s="422"/>
      <c r="L187" s="422"/>
      <c r="M187" s="422"/>
      <c r="N187" s="422"/>
      <c r="O187" s="422"/>
      <c r="P187" s="422"/>
      <c r="Q187" s="29"/>
      <c r="R187" s="24"/>
      <c r="U187" s="29"/>
      <c r="V187" s="29"/>
    </row>
    <row r="188" spans="2:22" x14ac:dyDescent="0.2">
      <c r="B188" s="21"/>
      <c r="E188" s="422"/>
      <c r="F188" s="422"/>
      <c r="G188" s="422"/>
      <c r="H188" s="422"/>
      <c r="I188" s="422"/>
      <c r="J188" s="422"/>
      <c r="K188" s="422"/>
      <c r="L188" s="422"/>
      <c r="M188" s="422"/>
      <c r="N188" s="422"/>
      <c r="O188" s="422"/>
      <c r="P188" s="422"/>
      <c r="Q188" s="29"/>
      <c r="R188" s="24"/>
      <c r="U188" s="29"/>
      <c r="V188" s="29"/>
    </row>
    <row r="189" spans="2:22" x14ac:dyDescent="0.2">
      <c r="B189" s="21"/>
      <c r="E189" s="422"/>
      <c r="F189" s="422"/>
      <c r="G189" s="422"/>
      <c r="H189" s="422"/>
      <c r="I189" s="422"/>
      <c r="J189" s="422"/>
      <c r="K189" s="422"/>
      <c r="L189" s="422"/>
      <c r="M189" s="422"/>
      <c r="N189" s="422"/>
      <c r="O189" s="422"/>
      <c r="P189" s="422"/>
      <c r="Q189" s="29"/>
      <c r="R189" s="24"/>
      <c r="U189" s="29"/>
      <c r="V189" s="29"/>
    </row>
    <row r="190" spans="2:22" x14ac:dyDescent="0.2">
      <c r="B190" s="21"/>
      <c r="E190" s="422"/>
      <c r="F190" s="422"/>
      <c r="G190" s="422"/>
      <c r="H190" s="422"/>
      <c r="I190" s="422"/>
      <c r="J190" s="422"/>
      <c r="K190" s="422"/>
      <c r="L190" s="422"/>
      <c r="M190" s="422"/>
      <c r="N190" s="422"/>
      <c r="O190" s="422"/>
      <c r="P190" s="422"/>
      <c r="Q190" s="29"/>
      <c r="R190" s="24"/>
      <c r="U190" s="29"/>
      <c r="V190" s="29"/>
    </row>
    <row r="191" spans="2:22" x14ac:dyDescent="0.2">
      <c r="B191" s="21"/>
      <c r="E191" s="422"/>
      <c r="F191" s="422"/>
      <c r="G191" s="422"/>
      <c r="H191" s="422"/>
      <c r="I191" s="422"/>
      <c r="J191" s="422"/>
      <c r="K191" s="422"/>
      <c r="L191" s="422"/>
      <c r="M191" s="422"/>
      <c r="N191" s="422"/>
      <c r="O191" s="422"/>
      <c r="P191" s="422"/>
      <c r="Q191" s="29"/>
      <c r="R191" s="24"/>
      <c r="U191" s="29"/>
      <c r="V191" s="29"/>
    </row>
    <row r="192" spans="2:22" x14ac:dyDescent="0.2">
      <c r="B192" s="21"/>
      <c r="E192" s="422"/>
      <c r="F192" s="422"/>
      <c r="G192" s="422"/>
      <c r="H192" s="422"/>
      <c r="I192" s="422"/>
      <c r="J192" s="422"/>
      <c r="K192" s="422"/>
      <c r="L192" s="422"/>
      <c r="M192" s="422"/>
      <c r="N192" s="422"/>
      <c r="O192" s="422"/>
      <c r="P192" s="422"/>
      <c r="Q192" s="29"/>
      <c r="R192" s="24"/>
      <c r="U192" s="29"/>
      <c r="V192" s="29"/>
    </row>
    <row r="193" spans="2:22" x14ac:dyDescent="0.2">
      <c r="B193" s="21"/>
      <c r="E193" s="422"/>
      <c r="F193" s="422"/>
      <c r="G193" s="422"/>
      <c r="H193" s="422"/>
      <c r="I193" s="422"/>
      <c r="J193" s="422"/>
      <c r="K193" s="422"/>
      <c r="L193" s="422"/>
      <c r="M193" s="422"/>
      <c r="N193" s="422"/>
      <c r="O193" s="422"/>
      <c r="P193" s="422"/>
      <c r="Q193" s="29"/>
      <c r="R193" s="24"/>
      <c r="U193" s="29"/>
      <c r="V193" s="29"/>
    </row>
    <row r="194" spans="2:22" x14ac:dyDescent="0.2">
      <c r="B194" s="21"/>
      <c r="E194" s="422"/>
      <c r="F194" s="422"/>
      <c r="G194" s="422"/>
      <c r="H194" s="422"/>
      <c r="I194" s="422"/>
      <c r="J194" s="422"/>
      <c r="K194" s="422"/>
      <c r="L194" s="422"/>
      <c r="M194" s="422"/>
      <c r="N194" s="422"/>
      <c r="O194" s="422"/>
      <c r="P194" s="422"/>
      <c r="Q194" s="29"/>
      <c r="R194" s="24"/>
      <c r="U194" s="29"/>
      <c r="V194" s="29"/>
    </row>
    <row r="195" spans="2:22" x14ac:dyDescent="0.2">
      <c r="B195" s="21"/>
      <c r="E195" s="422"/>
      <c r="F195" s="422"/>
      <c r="G195" s="422"/>
      <c r="H195" s="422"/>
      <c r="I195" s="422"/>
      <c r="J195" s="422"/>
      <c r="K195" s="422"/>
      <c r="L195" s="422"/>
      <c r="M195" s="422"/>
      <c r="N195" s="422"/>
      <c r="O195" s="422"/>
      <c r="P195" s="422"/>
      <c r="Q195" s="29"/>
      <c r="R195" s="24"/>
      <c r="U195" s="29"/>
      <c r="V195" s="29"/>
    </row>
    <row r="196" spans="2:22" x14ac:dyDescent="0.2">
      <c r="B196" s="21"/>
      <c r="E196" s="422"/>
      <c r="F196" s="422"/>
      <c r="G196" s="422"/>
      <c r="H196" s="422"/>
      <c r="I196" s="422"/>
      <c r="J196" s="422"/>
      <c r="K196" s="422"/>
      <c r="L196" s="422"/>
      <c r="M196" s="422"/>
      <c r="N196" s="422"/>
      <c r="O196" s="422"/>
      <c r="P196" s="422"/>
      <c r="Q196" s="29"/>
      <c r="R196" s="24"/>
      <c r="U196" s="29"/>
      <c r="V196" s="29"/>
    </row>
    <row r="197" spans="2:22" x14ac:dyDescent="0.2">
      <c r="B197" s="21"/>
      <c r="E197" s="422"/>
      <c r="F197" s="422"/>
      <c r="G197" s="422"/>
      <c r="H197" s="422"/>
      <c r="I197" s="422"/>
      <c r="J197" s="422"/>
      <c r="K197" s="422"/>
      <c r="L197" s="422"/>
      <c r="M197" s="422"/>
      <c r="N197" s="422"/>
      <c r="O197" s="422"/>
      <c r="P197" s="422"/>
      <c r="Q197" s="29"/>
      <c r="R197" s="24"/>
      <c r="U197" s="29"/>
      <c r="V197" s="29"/>
    </row>
    <row r="198" spans="2:22" x14ac:dyDescent="0.2">
      <c r="B198" s="21"/>
      <c r="E198" s="422"/>
      <c r="F198" s="422"/>
      <c r="G198" s="422"/>
      <c r="H198" s="422"/>
      <c r="I198" s="422"/>
      <c r="J198" s="422"/>
      <c r="K198" s="422"/>
      <c r="L198" s="422"/>
      <c r="M198" s="422"/>
      <c r="N198" s="422"/>
      <c r="O198" s="422"/>
      <c r="P198" s="422"/>
      <c r="Q198" s="29"/>
      <c r="R198" s="24"/>
      <c r="U198" s="29"/>
      <c r="V198" s="29"/>
    </row>
    <row r="199" spans="2:22" x14ac:dyDescent="0.2">
      <c r="B199" s="21"/>
      <c r="E199" s="422"/>
      <c r="F199" s="422"/>
      <c r="G199" s="422"/>
      <c r="H199" s="422"/>
      <c r="I199" s="422"/>
      <c r="J199" s="422"/>
      <c r="K199" s="422"/>
      <c r="L199" s="422"/>
      <c r="M199" s="422"/>
      <c r="N199" s="422"/>
      <c r="O199" s="422"/>
      <c r="P199" s="422"/>
      <c r="Q199" s="29"/>
      <c r="R199" s="24"/>
      <c r="U199" s="29"/>
      <c r="V199" s="29"/>
    </row>
    <row r="200" spans="2:22" x14ac:dyDescent="0.2">
      <c r="B200" s="21"/>
      <c r="E200" s="422"/>
      <c r="F200" s="422"/>
      <c r="G200" s="422"/>
      <c r="H200" s="422"/>
      <c r="I200" s="422"/>
      <c r="J200" s="422"/>
      <c r="K200" s="422"/>
      <c r="L200" s="422"/>
      <c r="M200" s="422"/>
      <c r="N200" s="422"/>
      <c r="O200" s="422"/>
      <c r="P200" s="422"/>
      <c r="Q200" s="29"/>
      <c r="R200" s="24"/>
      <c r="U200" s="29"/>
      <c r="V200" s="29"/>
    </row>
    <row r="201" spans="2:22" x14ac:dyDescent="0.2">
      <c r="B201" s="21"/>
      <c r="E201" s="422"/>
      <c r="F201" s="422"/>
      <c r="G201" s="422"/>
      <c r="H201" s="422"/>
      <c r="I201" s="422"/>
      <c r="J201" s="422"/>
      <c r="K201" s="422"/>
      <c r="L201" s="422"/>
      <c r="M201" s="422"/>
      <c r="N201" s="422"/>
      <c r="O201" s="422"/>
      <c r="P201" s="422"/>
      <c r="Q201" s="29"/>
      <c r="R201" s="24"/>
      <c r="U201" s="29"/>
      <c r="V201" s="29"/>
    </row>
    <row r="202" spans="2:22" x14ac:dyDescent="0.2">
      <c r="B202" s="21"/>
      <c r="E202" s="422"/>
      <c r="F202" s="422"/>
      <c r="G202" s="422"/>
      <c r="H202" s="422"/>
      <c r="I202" s="422"/>
      <c r="J202" s="422"/>
      <c r="K202" s="422"/>
      <c r="L202" s="422"/>
      <c r="M202" s="422"/>
      <c r="N202" s="422"/>
      <c r="O202" s="422"/>
      <c r="P202" s="422"/>
      <c r="Q202" s="29"/>
      <c r="R202" s="24"/>
      <c r="U202" s="29"/>
      <c r="V202" s="29"/>
    </row>
    <row r="203" spans="2:22" x14ac:dyDescent="0.2">
      <c r="B203" s="21"/>
      <c r="E203" s="422"/>
      <c r="F203" s="422"/>
      <c r="G203" s="422"/>
      <c r="H203" s="422"/>
      <c r="I203" s="422"/>
      <c r="J203" s="422"/>
      <c r="K203" s="422"/>
      <c r="L203" s="422"/>
      <c r="M203" s="422"/>
      <c r="N203" s="422"/>
      <c r="O203" s="422"/>
      <c r="P203" s="422"/>
      <c r="Q203" s="29"/>
      <c r="R203" s="24"/>
      <c r="U203" s="29"/>
      <c r="V203" s="29"/>
    </row>
    <row r="204" spans="2:22" x14ac:dyDescent="0.2">
      <c r="B204" s="21"/>
      <c r="E204" s="422"/>
      <c r="F204" s="422"/>
      <c r="G204" s="422"/>
      <c r="H204" s="422"/>
      <c r="I204" s="422"/>
      <c r="J204" s="422"/>
      <c r="K204" s="422"/>
      <c r="L204" s="422"/>
      <c r="M204" s="422"/>
      <c r="N204" s="422"/>
      <c r="O204" s="422"/>
      <c r="P204" s="422"/>
      <c r="Q204" s="29"/>
      <c r="R204" s="24"/>
      <c r="U204" s="29"/>
      <c r="V204" s="29"/>
    </row>
    <row r="205" spans="2:22" x14ac:dyDescent="0.2">
      <c r="B205" s="21"/>
      <c r="E205" s="422"/>
      <c r="F205" s="422"/>
      <c r="G205" s="422"/>
      <c r="H205" s="422"/>
      <c r="I205" s="422"/>
      <c r="J205" s="422"/>
      <c r="K205" s="422"/>
      <c r="L205" s="422"/>
      <c r="M205" s="422"/>
      <c r="N205" s="422"/>
      <c r="O205" s="422"/>
      <c r="P205" s="422"/>
      <c r="Q205" s="29"/>
      <c r="R205" s="24"/>
      <c r="U205" s="29"/>
      <c r="V205" s="29"/>
    </row>
    <row r="206" spans="2:22" x14ac:dyDescent="0.2">
      <c r="B206" s="21"/>
      <c r="E206" s="422"/>
      <c r="F206" s="422"/>
      <c r="G206" s="422"/>
      <c r="H206" s="422"/>
      <c r="I206" s="422"/>
      <c r="J206" s="422"/>
      <c r="K206" s="422"/>
      <c r="L206" s="422"/>
      <c r="M206" s="422"/>
      <c r="N206" s="422"/>
      <c r="O206" s="422"/>
      <c r="P206" s="422"/>
      <c r="Q206" s="29"/>
      <c r="R206" s="24"/>
      <c r="U206" s="29"/>
      <c r="V206" s="29"/>
    </row>
    <row r="207" spans="2:22" x14ac:dyDescent="0.2">
      <c r="B207" s="21"/>
      <c r="E207" s="422"/>
      <c r="F207" s="422"/>
      <c r="G207" s="422"/>
      <c r="H207" s="422"/>
      <c r="I207" s="422"/>
      <c r="J207" s="422"/>
      <c r="K207" s="422"/>
      <c r="L207" s="422"/>
      <c r="M207" s="422"/>
      <c r="N207" s="422"/>
      <c r="O207" s="422"/>
      <c r="P207" s="422"/>
      <c r="Q207" s="29"/>
      <c r="R207" s="24"/>
      <c r="U207" s="29"/>
      <c r="V207" s="29"/>
    </row>
    <row r="208" spans="2:22" x14ac:dyDescent="0.2">
      <c r="B208" s="21"/>
      <c r="E208" s="422"/>
      <c r="F208" s="422"/>
      <c r="G208" s="422"/>
      <c r="H208" s="422"/>
      <c r="I208" s="422"/>
      <c r="J208" s="422"/>
      <c r="K208" s="422"/>
      <c r="L208" s="422"/>
      <c r="M208" s="422"/>
      <c r="N208" s="422"/>
      <c r="O208" s="422"/>
      <c r="P208" s="422"/>
      <c r="Q208" s="29"/>
      <c r="R208" s="24"/>
      <c r="U208" s="29"/>
      <c r="V208" s="29"/>
    </row>
    <row r="209" spans="2:22" x14ac:dyDescent="0.2">
      <c r="B209" s="21"/>
      <c r="E209" s="422"/>
      <c r="F209" s="422"/>
      <c r="G209" s="422"/>
      <c r="H209" s="422"/>
      <c r="I209" s="422"/>
      <c r="J209" s="422"/>
      <c r="K209" s="422"/>
      <c r="L209" s="422"/>
      <c r="M209" s="422"/>
      <c r="N209" s="422"/>
      <c r="O209" s="422"/>
      <c r="P209" s="422"/>
      <c r="Q209" s="29"/>
      <c r="R209" s="24"/>
      <c r="U209" s="29"/>
      <c r="V209" s="29"/>
    </row>
    <row r="210" spans="2:22" x14ac:dyDescent="0.2">
      <c r="B210" s="21"/>
      <c r="E210" s="422"/>
      <c r="F210" s="422"/>
      <c r="G210" s="422"/>
      <c r="H210" s="422"/>
      <c r="I210" s="422"/>
      <c r="J210" s="422"/>
      <c r="K210" s="422"/>
      <c r="L210" s="422"/>
      <c r="M210" s="422"/>
      <c r="N210" s="422"/>
      <c r="O210" s="422"/>
      <c r="P210" s="422"/>
      <c r="Q210" s="29"/>
      <c r="R210" s="24"/>
      <c r="U210" s="29"/>
      <c r="V210" s="29"/>
    </row>
    <row r="211" spans="2:22" x14ac:dyDescent="0.2">
      <c r="B211" s="21"/>
      <c r="E211" s="422"/>
      <c r="F211" s="422"/>
      <c r="G211" s="422"/>
      <c r="H211" s="422"/>
      <c r="I211" s="422"/>
      <c r="J211" s="422"/>
      <c r="K211" s="422"/>
      <c r="L211" s="422"/>
      <c r="M211" s="422"/>
      <c r="N211" s="422"/>
      <c r="O211" s="422"/>
      <c r="P211" s="422"/>
      <c r="Q211" s="29"/>
      <c r="R211" s="24"/>
      <c r="U211" s="29"/>
      <c r="V211" s="29"/>
    </row>
    <row r="212" spans="2:22" x14ac:dyDescent="0.2">
      <c r="B212" s="21"/>
      <c r="E212" s="422"/>
      <c r="F212" s="422"/>
      <c r="G212" s="422"/>
      <c r="H212" s="422"/>
      <c r="I212" s="422"/>
      <c r="J212" s="422"/>
      <c r="K212" s="422"/>
      <c r="L212" s="422"/>
      <c r="M212" s="422"/>
      <c r="N212" s="422"/>
      <c r="O212" s="422"/>
      <c r="P212" s="422"/>
      <c r="Q212" s="29"/>
      <c r="R212" s="24"/>
      <c r="U212" s="29"/>
      <c r="V212" s="29"/>
    </row>
    <row r="213" spans="2:22" x14ac:dyDescent="0.2">
      <c r="B213" s="21"/>
      <c r="E213" s="422"/>
      <c r="F213" s="422"/>
      <c r="G213" s="422"/>
      <c r="H213" s="422"/>
      <c r="I213" s="422"/>
      <c r="J213" s="422"/>
      <c r="K213" s="422"/>
      <c r="L213" s="422"/>
      <c r="M213" s="422"/>
      <c r="N213" s="422"/>
      <c r="O213" s="422"/>
      <c r="P213" s="422"/>
      <c r="Q213" s="29"/>
      <c r="R213" s="24"/>
      <c r="U213" s="29"/>
      <c r="V213" s="29"/>
    </row>
    <row r="214" spans="2:22" x14ac:dyDescent="0.2">
      <c r="B214" s="21"/>
      <c r="E214" s="422"/>
      <c r="F214" s="422"/>
      <c r="G214" s="422"/>
      <c r="H214" s="422"/>
      <c r="I214" s="422"/>
      <c r="J214" s="422"/>
      <c r="K214" s="422"/>
      <c r="L214" s="422"/>
      <c r="M214" s="422"/>
      <c r="N214" s="422"/>
      <c r="O214" s="422"/>
      <c r="P214" s="422"/>
      <c r="Q214" s="29"/>
      <c r="R214" s="24"/>
      <c r="U214" s="29"/>
      <c r="V214" s="29"/>
    </row>
    <row r="215" spans="2:22" x14ac:dyDescent="0.2">
      <c r="B215" s="21"/>
      <c r="E215" s="422"/>
      <c r="F215" s="422"/>
      <c r="G215" s="422"/>
      <c r="H215" s="422"/>
      <c r="I215" s="422"/>
      <c r="J215" s="422"/>
      <c r="K215" s="422"/>
      <c r="L215" s="422"/>
      <c r="M215" s="422"/>
      <c r="N215" s="422"/>
      <c r="O215" s="422"/>
      <c r="P215" s="422"/>
      <c r="Q215" s="29"/>
      <c r="R215" s="24"/>
      <c r="U215" s="29"/>
      <c r="V215" s="29"/>
    </row>
    <row r="216" spans="2:22" x14ac:dyDescent="0.2">
      <c r="B216" s="21"/>
      <c r="E216" s="422"/>
      <c r="F216" s="422"/>
      <c r="G216" s="422"/>
      <c r="H216" s="422"/>
      <c r="I216" s="422"/>
      <c r="J216" s="422"/>
      <c r="K216" s="422"/>
      <c r="L216" s="422"/>
      <c r="M216" s="422"/>
      <c r="N216" s="422"/>
      <c r="O216" s="422"/>
      <c r="P216" s="422"/>
      <c r="Q216" s="29"/>
      <c r="R216" s="24"/>
      <c r="U216" s="29"/>
      <c r="V216" s="29"/>
    </row>
    <row r="217" spans="2:22" x14ac:dyDescent="0.2">
      <c r="B217" s="21"/>
      <c r="E217" s="422"/>
      <c r="F217" s="422"/>
      <c r="G217" s="422"/>
      <c r="H217" s="422"/>
      <c r="I217" s="422"/>
      <c r="J217" s="422"/>
      <c r="K217" s="422"/>
      <c r="L217" s="422"/>
      <c r="M217" s="422"/>
      <c r="N217" s="422"/>
      <c r="O217" s="422"/>
      <c r="P217" s="422"/>
      <c r="Q217" s="29"/>
      <c r="R217" s="24"/>
      <c r="U217" s="29"/>
      <c r="V217" s="29"/>
    </row>
    <row r="218" spans="2:22" x14ac:dyDescent="0.2">
      <c r="B218" s="21"/>
      <c r="E218" s="422"/>
      <c r="F218" s="422"/>
      <c r="G218" s="422"/>
      <c r="H218" s="422"/>
      <c r="I218" s="422"/>
      <c r="J218" s="422"/>
      <c r="K218" s="422"/>
      <c r="L218" s="422"/>
      <c r="M218" s="422"/>
      <c r="N218" s="422"/>
      <c r="O218" s="422"/>
      <c r="P218" s="422"/>
      <c r="Q218" s="29"/>
      <c r="R218" s="24"/>
      <c r="U218" s="29"/>
      <c r="V218" s="29"/>
    </row>
    <row r="219" spans="2:22" x14ac:dyDescent="0.2">
      <c r="B219" s="21"/>
      <c r="E219" s="422"/>
      <c r="F219" s="422"/>
      <c r="G219" s="422"/>
      <c r="H219" s="422"/>
      <c r="I219" s="422"/>
      <c r="J219" s="422"/>
      <c r="K219" s="422"/>
      <c r="L219" s="422"/>
      <c r="M219" s="422"/>
      <c r="N219" s="422"/>
      <c r="O219" s="422"/>
      <c r="P219" s="422"/>
      <c r="Q219" s="29"/>
      <c r="R219" s="24"/>
      <c r="U219" s="29"/>
      <c r="V219" s="29"/>
    </row>
    <row r="220" spans="2:22" x14ac:dyDescent="0.2">
      <c r="B220" s="21"/>
      <c r="E220" s="422"/>
      <c r="F220" s="422"/>
      <c r="G220" s="422"/>
      <c r="H220" s="422"/>
      <c r="I220" s="422"/>
      <c r="J220" s="422"/>
      <c r="K220" s="422"/>
      <c r="L220" s="422"/>
      <c r="M220" s="422"/>
      <c r="N220" s="422"/>
      <c r="O220" s="422"/>
      <c r="P220" s="422"/>
      <c r="Q220" s="29"/>
      <c r="R220" s="24"/>
      <c r="U220" s="29"/>
      <c r="V220" s="29"/>
    </row>
    <row r="221" spans="2:22" x14ac:dyDescent="0.2">
      <c r="B221" s="21"/>
      <c r="E221" s="422"/>
      <c r="F221" s="422"/>
      <c r="G221" s="422"/>
      <c r="H221" s="422"/>
      <c r="I221" s="422"/>
      <c r="J221" s="422"/>
      <c r="K221" s="422"/>
      <c r="L221" s="422"/>
      <c r="M221" s="422"/>
      <c r="N221" s="422"/>
      <c r="O221" s="422"/>
      <c r="P221" s="422"/>
      <c r="Q221" s="29"/>
      <c r="R221" s="24"/>
      <c r="U221" s="29"/>
      <c r="V221" s="29"/>
    </row>
    <row r="222" spans="2:22" x14ac:dyDescent="0.2">
      <c r="B222" s="21"/>
      <c r="E222" s="422"/>
      <c r="F222" s="422"/>
      <c r="G222" s="422"/>
      <c r="H222" s="422"/>
      <c r="I222" s="422"/>
      <c r="J222" s="422"/>
      <c r="K222" s="422"/>
      <c r="L222" s="422"/>
      <c r="M222" s="422"/>
      <c r="N222" s="422"/>
      <c r="O222" s="422"/>
      <c r="P222" s="422"/>
      <c r="Q222" s="29"/>
      <c r="R222" s="24"/>
      <c r="U222" s="29"/>
      <c r="V222" s="29"/>
    </row>
    <row r="223" spans="2:22" x14ac:dyDescent="0.2">
      <c r="B223" s="21"/>
      <c r="E223" s="422"/>
      <c r="F223" s="422"/>
      <c r="G223" s="422"/>
      <c r="H223" s="422"/>
      <c r="I223" s="422"/>
      <c r="J223" s="422"/>
      <c r="K223" s="422"/>
      <c r="L223" s="422"/>
      <c r="M223" s="422"/>
      <c r="N223" s="422"/>
      <c r="O223" s="422"/>
      <c r="P223" s="422"/>
      <c r="Q223" s="29"/>
      <c r="R223" s="24"/>
      <c r="U223" s="29"/>
      <c r="V223" s="29"/>
    </row>
    <row r="224" spans="2:22" x14ac:dyDescent="0.2">
      <c r="B224" s="21"/>
      <c r="E224" s="422"/>
      <c r="F224" s="422"/>
      <c r="G224" s="422"/>
      <c r="H224" s="422"/>
      <c r="I224" s="422"/>
      <c r="J224" s="422"/>
      <c r="K224" s="422"/>
      <c r="L224" s="422"/>
      <c r="M224" s="422"/>
      <c r="N224" s="422"/>
      <c r="O224" s="422"/>
      <c r="P224" s="422"/>
      <c r="Q224" s="29"/>
      <c r="R224" s="24"/>
      <c r="U224" s="29"/>
      <c r="V224" s="29"/>
    </row>
    <row r="225" spans="2:22" x14ac:dyDescent="0.2">
      <c r="B225" s="21"/>
      <c r="E225" s="422"/>
      <c r="F225" s="422"/>
      <c r="G225" s="422"/>
      <c r="H225" s="422"/>
      <c r="I225" s="422"/>
      <c r="J225" s="422"/>
      <c r="K225" s="422"/>
      <c r="L225" s="422"/>
      <c r="M225" s="422"/>
      <c r="N225" s="422"/>
      <c r="O225" s="422"/>
      <c r="P225" s="422"/>
      <c r="Q225" s="29"/>
      <c r="R225" s="24"/>
      <c r="U225" s="29"/>
      <c r="V225" s="29"/>
    </row>
    <row r="226" spans="2:22" x14ac:dyDescent="0.2">
      <c r="B226" s="21"/>
      <c r="E226" s="422"/>
      <c r="F226" s="422"/>
      <c r="G226" s="422"/>
      <c r="H226" s="422"/>
      <c r="I226" s="422"/>
      <c r="J226" s="422"/>
      <c r="K226" s="422"/>
      <c r="L226" s="422"/>
      <c r="M226" s="422"/>
      <c r="N226" s="422"/>
      <c r="O226" s="422"/>
      <c r="P226" s="422"/>
      <c r="Q226" s="29"/>
      <c r="R226" s="24"/>
      <c r="U226" s="29"/>
      <c r="V226" s="29"/>
    </row>
    <row r="227" spans="2:22" x14ac:dyDescent="0.2">
      <c r="B227" s="21"/>
      <c r="E227" s="422"/>
      <c r="F227" s="422"/>
      <c r="G227" s="422"/>
      <c r="H227" s="422"/>
      <c r="I227" s="422"/>
      <c r="J227" s="422"/>
      <c r="K227" s="422"/>
      <c r="L227" s="422"/>
      <c r="M227" s="422"/>
      <c r="N227" s="422"/>
      <c r="O227" s="422"/>
      <c r="P227" s="422"/>
      <c r="Q227" s="29"/>
      <c r="R227" s="24"/>
      <c r="U227" s="29"/>
      <c r="V227" s="29"/>
    </row>
    <row r="228" spans="2:22" x14ac:dyDescent="0.2">
      <c r="B228" s="21"/>
      <c r="E228" s="422"/>
      <c r="F228" s="422"/>
      <c r="G228" s="422"/>
      <c r="H228" s="422"/>
      <c r="I228" s="422"/>
      <c r="J228" s="422"/>
      <c r="K228" s="422"/>
      <c r="L228" s="422"/>
      <c r="M228" s="422"/>
      <c r="N228" s="422"/>
      <c r="O228" s="422"/>
      <c r="P228" s="422"/>
      <c r="Q228" s="29"/>
      <c r="R228" s="24"/>
      <c r="U228" s="29"/>
      <c r="V228" s="29"/>
    </row>
    <row r="229" spans="2:22" x14ac:dyDescent="0.2">
      <c r="B229" s="21"/>
      <c r="E229" s="422"/>
      <c r="F229" s="422"/>
      <c r="G229" s="422"/>
      <c r="H229" s="422"/>
      <c r="I229" s="422"/>
      <c r="J229" s="422"/>
      <c r="K229" s="422"/>
      <c r="L229" s="422"/>
      <c r="M229" s="422"/>
      <c r="N229" s="422"/>
      <c r="O229" s="422"/>
      <c r="P229" s="422"/>
      <c r="Q229" s="29"/>
      <c r="R229" s="24"/>
      <c r="U229" s="29"/>
      <c r="V229" s="29"/>
    </row>
    <row r="230" spans="2:22" x14ac:dyDescent="0.2">
      <c r="B230" s="21"/>
      <c r="E230" s="422"/>
      <c r="F230" s="422"/>
      <c r="G230" s="422"/>
      <c r="H230" s="422"/>
      <c r="I230" s="422"/>
      <c r="J230" s="422"/>
      <c r="K230" s="422"/>
      <c r="L230" s="422"/>
      <c r="M230" s="422"/>
      <c r="N230" s="422"/>
      <c r="O230" s="422"/>
      <c r="P230" s="422"/>
      <c r="Q230" s="29"/>
      <c r="R230" s="24"/>
      <c r="U230" s="29"/>
      <c r="V230" s="29"/>
    </row>
    <row r="231" spans="2:22" x14ac:dyDescent="0.2">
      <c r="B231" s="21"/>
      <c r="E231" s="422"/>
      <c r="F231" s="422"/>
      <c r="G231" s="422"/>
      <c r="H231" s="422"/>
      <c r="I231" s="422"/>
      <c r="J231" s="422"/>
      <c r="K231" s="422"/>
      <c r="L231" s="422"/>
      <c r="M231" s="422"/>
      <c r="N231" s="422"/>
      <c r="O231" s="422"/>
      <c r="P231" s="422"/>
      <c r="Q231" s="29"/>
      <c r="R231" s="24"/>
      <c r="U231" s="29"/>
      <c r="V231" s="29"/>
    </row>
    <row r="232" spans="2:22" x14ac:dyDescent="0.2">
      <c r="B232" s="21"/>
      <c r="E232" s="422"/>
      <c r="F232" s="422"/>
      <c r="G232" s="422"/>
      <c r="H232" s="422"/>
      <c r="I232" s="422"/>
      <c r="J232" s="422"/>
      <c r="K232" s="422"/>
      <c r="L232" s="422"/>
      <c r="M232" s="422"/>
      <c r="N232" s="422"/>
      <c r="O232" s="422"/>
      <c r="P232" s="422"/>
      <c r="Q232" s="29"/>
      <c r="R232" s="24"/>
      <c r="U232" s="29"/>
      <c r="V232" s="29"/>
    </row>
    <row r="233" spans="2:22" x14ac:dyDescent="0.2">
      <c r="B233" s="21"/>
      <c r="E233" s="422"/>
      <c r="F233" s="422"/>
      <c r="G233" s="422"/>
      <c r="H233" s="422"/>
      <c r="I233" s="422"/>
      <c r="J233" s="422"/>
      <c r="K233" s="422"/>
      <c r="L233" s="422"/>
      <c r="M233" s="422"/>
      <c r="N233" s="422"/>
      <c r="O233" s="422"/>
      <c r="P233" s="422"/>
      <c r="Q233" s="29"/>
      <c r="R233" s="24"/>
      <c r="U233" s="29"/>
      <c r="V233" s="29"/>
    </row>
    <row r="234" spans="2:22" x14ac:dyDescent="0.2">
      <c r="B234" s="21"/>
      <c r="E234" s="422"/>
      <c r="F234" s="422"/>
      <c r="G234" s="422"/>
      <c r="H234" s="422"/>
      <c r="I234" s="422"/>
      <c r="J234" s="422"/>
      <c r="K234" s="422"/>
      <c r="L234" s="422"/>
      <c r="M234" s="422"/>
      <c r="N234" s="422"/>
      <c r="O234" s="422"/>
      <c r="P234" s="422"/>
      <c r="Q234" s="29"/>
      <c r="R234" s="24"/>
      <c r="U234" s="29"/>
      <c r="V234" s="29"/>
    </row>
    <row r="235" spans="2:22" x14ac:dyDescent="0.2">
      <c r="B235" s="21"/>
      <c r="E235" s="422"/>
      <c r="F235" s="422"/>
      <c r="G235" s="422"/>
      <c r="H235" s="422"/>
      <c r="I235" s="422"/>
      <c r="J235" s="422"/>
      <c r="K235" s="422"/>
      <c r="L235" s="422"/>
      <c r="M235" s="422"/>
      <c r="N235" s="422"/>
      <c r="O235" s="422"/>
      <c r="P235" s="422"/>
      <c r="Q235" s="29"/>
      <c r="R235" s="24"/>
      <c r="U235" s="29"/>
      <c r="V235" s="29"/>
    </row>
    <row r="236" spans="2:22" x14ac:dyDescent="0.2">
      <c r="B236" s="21"/>
      <c r="E236" s="422"/>
      <c r="F236" s="422"/>
      <c r="G236" s="422"/>
      <c r="H236" s="422"/>
      <c r="I236" s="422"/>
      <c r="J236" s="422"/>
      <c r="K236" s="422"/>
      <c r="L236" s="422"/>
      <c r="M236" s="422"/>
      <c r="N236" s="422"/>
      <c r="O236" s="422"/>
      <c r="P236" s="422"/>
      <c r="Q236" s="29"/>
      <c r="R236" s="24"/>
      <c r="U236" s="29"/>
      <c r="V236" s="29"/>
    </row>
    <row r="237" spans="2:22" x14ac:dyDescent="0.2">
      <c r="B237" s="21"/>
      <c r="E237" s="422"/>
      <c r="F237" s="422"/>
      <c r="G237" s="422"/>
      <c r="H237" s="422"/>
      <c r="I237" s="422"/>
      <c r="J237" s="422"/>
      <c r="K237" s="422"/>
      <c r="L237" s="422"/>
      <c r="M237" s="422"/>
      <c r="N237" s="422"/>
      <c r="O237" s="422"/>
      <c r="P237" s="422"/>
      <c r="Q237" s="29"/>
      <c r="R237" s="24"/>
      <c r="U237" s="29"/>
      <c r="V237" s="29"/>
    </row>
    <row r="238" spans="2:22" x14ac:dyDescent="0.2">
      <c r="B238" s="21"/>
      <c r="E238" s="422"/>
      <c r="F238" s="422"/>
      <c r="G238" s="422"/>
      <c r="H238" s="422"/>
      <c r="I238" s="422"/>
      <c r="J238" s="422"/>
      <c r="K238" s="422"/>
      <c r="L238" s="422"/>
      <c r="M238" s="422"/>
      <c r="N238" s="422"/>
      <c r="O238" s="422"/>
      <c r="P238" s="422"/>
      <c r="Q238" s="29"/>
      <c r="R238" s="24"/>
      <c r="U238" s="29"/>
      <c r="V238" s="29"/>
    </row>
    <row r="239" spans="2:22" x14ac:dyDescent="0.2">
      <c r="B239" s="21"/>
      <c r="E239" s="422"/>
      <c r="F239" s="422"/>
      <c r="G239" s="422"/>
      <c r="H239" s="422"/>
      <c r="I239" s="422"/>
      <c r="J239" s="422"/>
      <c r="K239" s="422"/>
      <c r="L239" s="422"/>
      <c r="M239" s="422"/>
      <c r="N239" s="422"/>
      <c r="O239" s="422"/>
      <c r="P239" s="422"/>
      <c r="Q239" s="29"/>
      <c r="R239" s="24"/>
      <c r="U239" s="29"/>
      <c r="V239" s="29"/>
    </row>
    <row r="240" spans="2:22" x14ac:dyDescent="0.2">
      <c r="B240" s="21"/>
      <c r="E240" s="422"/>
      <c r="F240" s="422"/>
      <c r="G240" s="422"/>
      <c r="H240" s="422"/>
      <c r="I240" s="422"/>
      <c r="J240" s="422"/>
      <c r="K240" s="422"/>
      <c r="L240" s="422"/>
      <c r="M240" s="422"/>
      <c r="N240" s="422"/>
      <c r="O240" s="422"/>
      <c r="P240" s="422"/>
      <c r="Q240" s="29"/>
      <c r="R240" s="24"/>
      <c r="U240" s="29"/>
      <c r="V240" s="29"/>
    </row>
    <row r="241" spans="2:22" x14ac:dyDescent="0.2">
      <c r="B241" s="21"/>
      <c r="E241" s="422"/>
      <c r="F241" s="422"/>
      <c r="G241" s="422"/>
      <c r="H241" s="422"/>
      <c r="I241" s="422"/>
      <c r="J241" s="422"/>
      <c r="K241" s="422"/>
      <c r="L241" s="422"/>
      <c r="M241" s="422"/>
      <c r="N241" s="422"/>
      <c r="O241" s="422"/>
      <c r="P241" s="422"/>
      <c r="Q241" s="29"/>
      <c r="R241" s="24"/>
      <c r="U241" s="29"/>
      <c r="V241" s="29"/>
    </row>
    <row r="242" spans="2:22" x14ac:dyDescent="0.2">
      <c r="B242" s="21"/>
      <c r="E242" s="422"/>
      <c r="F242" s="422"/>
      <c r="G242" s="422"/>
      <c r="H242" s="422"/>
      <c r="I242" s="422"/>
      <c r="J242" s="422"/>
      <c r="K242" s="422"/>
      <c r="L242" s="422"/>
      <c r="M242" s="422"/>
      <c r="N242" s="422"/>
      <c r="O242" s="422"/>
      <c r="P242" s="422"/>
      <c r="Q242" s="29"/>
      <c r="R242" s="24"/>
      <c r="U242" s="29"/>
      <c r="V242" s="29"/>
    </row>
    <row r="243" spans="2:22" x14ac:dyDescent="0.2">
      <c r="B243" s="21"/>
      <c r="E243" s="422"/>
      <c r="F243" s="422"/>
      <c r="G243" s="422"/>
      <c r="H243" s="422"/>
      <c r="I243" s="422"/>
      <c r="J243" s="422"/>
      <c r="K243" s="422"/>
      <c r="L243" s="422"/>
      <c r="M243" s="422"/>
      <c r="N243" s="422"/>
      <c r="O243" s="422"/>
      <c r="P243" s="422"/>
      <c r="Q243" s="29"/>
      <c r="R243" s="24"/>
      <c r="U243" s="29"/>
      <c r="V243" s="29"/>
    </row>
    <row r="244" spans="2:22" x14ac:dyDescent="0.2">
      <c r="B244" s="21"/>
      <c r="E244" s="422"/>
      <c r="F244" s="422"/>
      <c r="G244" s="422"/>
      <c r="H244" s="422"/>
      <c r="I244" s="422"/>
      <c r="J244" s="422"/>
      <c r="K244" s="422"/>
      <c r="L244" s="422"/>
      <c r="M244" s="422"/>
      <c r="N244" s="422"/>
      <c r="O244" s="422"/>
      <c r="P244" s="422"/>
      <c r="Q244" s="29"/>
      <c r="R244" s="24"/>
      <c r="U244" s="29"/>
      <c r="V244" s="29"/>
    </row>
    <row r="245" spans="2:22" x14ac:dyDescent="0.2">
      <c r="B245" s="21"/>
      <c r="E245" s="422"/>
      <c r="F245" s="422"/>
      <c r="G245" s="422"/>
      <c r="H245" s="422"/>
      <c r="I245" s="422"/>
      <c r="J245" s="422"/>
      <c r="K245" s="422"/>
      <c r="L245" s="422"/>
      <c r="M245" s="422"/>
      <c r="N245" s="422"/>
      <c r="O245" s="422"/>
      <c r="P245" s="422"/>
      <c r="Q245" s="29"/>
      <c r="R245" s="24"/>
      <c r="U245" s="29"/>
      <c r="V245" s="29"/>
    </row>
    <row r="246" spans="2:22" x14ac:dyDescent="0.2">
      <c r="B246" s="21"/>
      <c r="E246" s="422"/>
      <c r="F246" s="422"/>
      <c r="G246" s="422"/>
      <c r="H246" s="422"/>
      <c r="I246" s="422"/>
      <c r="J246" s="422"/>
      <c r="K246" s="422"/>
      <c r="L246" s="422"/>
      <c r="M246" s="422"/>
      <c r="N246" s="422"/>
      <c r="O246" s="422"/>
      <c r="P246" s="422"/>
      <c r="Q246" s="29"/>
      <c r="R246" s="24"/>
      <c r="U246" s="29"/>
      <c r="V246" s="29"/>
    </row>
    <row r="247" spans="2:22" x14ac:dyDescent="0.2">
      <c r="B247" s="21"/>
      <c r="E247" s="422"/>
      <c r="F247" s="422"/>
      <c r="G247" s="422"/>
      <c r="H247" s="422"/>
      <c r="I247" s="422"/>
      <c r="J247" s="422"/>
      <c r="K247" s="422"/>
      <c r="L247" s="422"/>
      <c r="M247" s="422"/>
      <c r="N247" s="422"/>
      <c r="O247" s="422"/>
      <c r="P247" s="422"/>
      <c r="Q247" s="29"/>
      <c r="R247" s="24"/>
      <c r="U247" s="29"/>
      <c r="V247" s="29"/>
    </row>
    <row r="248" spans="2:22" x14ac:dyDescent="0.2">
      <c r="B248" s="21"/>
      <c r="E248" s="422"/>
      <c r="F248" s="422"/>
      <c r="G248" s="422"/>
      <c r="H248" s="422"/>
      <c r="I248" s="422"/>
      <c r="J248" s="422"/>
      <c r="K248" s="422"/>
      <c r="L248" s="422"/>
      <c r="M248" s="422"/>
      <c r="N248" s="422"/>
      <c r="O248" s="422"/>
      <c r="P248" s="422"/>
      <c r="Q248" s="29"/>
      <c r="R248" s="24"/>
      <c r="U248" s="29"/>
      <c r="V248" s="29"/>
    </row>
    <row r="249" spans="2:22" x14ac:dyDescent="0.2">
      <c r="B249" s="21"/>
      <c r="E249" s="422"/>
      <c r="F249" s="422"/>
      <c r="G249" s="422"/>
      <c r="H249" s="422"/>
      <c r="I249" s="422"/>
      <c r="J249" s="422"/>
      <c r="K249" s="422"/>
      <c r="L249" s="422"/>
      <c r="M249" s="422"/>
      <c r="N249" s="422"/>
      <c r="O249" s="422"/>
      <c r="P249" s="422"/>
      <c r="Q249" s="29"/>
      <c r="R249" s="24"/>
      <c r="U249" s="29"/>
      <c r="V249" s="29"/>
    </row>
    <row r="250" spans="2:22" x14ac:dyDescent="0.2">
      <c r="B250" s="21"/>
      <c r="E250" s="422"/>
      <c r="F250" s="422"/>
      <c r="G250" s="422"/>
      <c r="H250" s="422"/>
      <c r="I250" s="422"/>
      <c r="J250" s="422"/>
      <c r="K250" s="422"/>
      <c r="L250" s="422"/>
      <c r="M250" s="422"/>
      <c r="N250" s="422"/>
      <c r="O250" s="422"/>
      <c r="P250" s="422"/>
      <c r="Q250" s="29"/>
      <c r="R250" s="24"/>
      <c r="U250" s="29"/>
      <c r="V250" s="29"/>
    </row>
    <row r="251" spans="2:22" x14ac:dyDescent="0.2">
      <c r="B251" s="21"/>
      <c r="E251" s="422"/>
      <c r="F251" s="422"/>
      <c r="G251" s="422"/>
      <c r="H251" s="422"/>
      <c r="I251" s="422"/>
      <c r="J251" s="422"/>
      <c r="K251" s="422"/>
      <c r="L251" s="422"/>
      <c r="M251" s="422"/>
      <c r="N251" s="422"/>
      <c r="O251" s="422"/>
      <c r="P251" s="422"/>
      <c r="Q251" s="29"/>
      <c r="R251" s="24"/>
      <c r="U251" s="29"/>
      <c r="V251" s="29"/>
    </row>
    <row r="252" spans="2:22" x14ac:dyDescent="0.2">
      <c r="B252" s="21"/>
      <c r="E252" s="422"/>
      <c r="F252" s="422"/>
      <c r="G252" s="422"/>
      <c r="H252" s="422"/>
      <c r="I252" s="422"/>
      <c r="J252" s="422"/>
      <c r="K252" s="422"/>
      <c r="L252" s="422"/>
      <c r="M252" s="422"/>
      <c r="N252" s="422"/>
      <c r="O252" s="422"/>
      <c r="P252" s="422"/>
      <c r="Q252" s="29"/>
      <c r="R252" s="24"/>
      <c r="U252" s="29"/>
      <c r="V252" s="29"/>
    </row>
    <row r="253" spans="2:22" x14ac:dyDescent="0.2">
      <c r="B253" s="21"/>
      <c r="E253" s="422"/>
      <c r="F253" s="422"/>
      <c r="G253" s="422"/>
      <c r="H253" s="422"/>
      <c r="I253" s="422"/>
      <c r="J253" s="422"/>
      <c r="K253" s="422"/>
      <c r="L253" s="422"/>
      <c r="M253" s="422"/>
      <c r="N253" s="422"/>
      <c r="O253" s="422"/>
      <c r="P253" s="422"/>
      <c r="Q253" s="29"/>
      <c r="R253" s="24"/>
      <c r="U253" s="29"/>
      <c r="V253" s="29"/>
    </row>
    <row r="254" spans="2:22" x14ac:dyDescent="0.2">
      <c r="B254" s="21"/>
      <c r="E254" s="422"/>
      <c r="F254" s="422"/>
      <c r="G254" s="422"/>
      <c r="H254" s="422"/>
      <c r="I254" s="422"/>
      <c r="J254" s="422"/>
      <c r="K254" s="422"/>
      <c r="L254" s="422"/>
      <c r="M254" s="422"/>
      <c r="N254" s="422"/>
      <c r="O254" s="422"/>
      <c r="P254" s="422"/>
      <c r="Q254" s="29"/>
      <c r="R254" s="24"/>
      <c r="U254" s="29"/>
      <c r="V254" s="29"/>
    </row>
    <row r="255" spans="2:22" x14ac:dyDescent="0.2">
      <c r="B255" s="21"/>
      <c r="E255" s="422"/>
      <c r="F255" s="422"/>
      <c r="G255" s="422"/>
      <c r="H255" s="422"/>
      <c r="I255" s="422"/>
      <c r="J255" s="422"/>
      <c r="K255" s="422"/>
      <c r="L255" s="422"/>
      <c r="M255" s="422"/>
      <c r="N255" s="422"/>
      <c r="O255" s="422"/>
      <c r="P255" s="422"/>
      <c r="Q255" s="29"/>
      <c r="R255" s="24"/>
      <c r="U255" s="29"/>
      <c r="V255" s="29"/>
    </row>
    <row r="256" spans="2:22" x14ac:dyDescent="0.2">
      <c r="B256" s="21"/>
      <c r="E256" s="422"/>
      <c r="F256" s="422"/>
      <c r="G256" s="422"/>
      <c r="H256" s="422"/>
      <c r="I256" s="422"/>
      <c r="J256" s="422"/>
      <c r="K256" s="422"/>
      <c r="L256" s="422"/>
      <c r="M256" s="422"/>
      <c r="N256" s="422"/>
      <c r="O256" s="422"/>
      <c r="P256" s="422"/>
      <c r="Q256" s="29"/>
      <c r="R256" s="24"/>
      <c r="U256" s="29"/>
      <c r="V256" s="29"/>
    </row>
    <row r="257" spans="2:22" x14ac:dyDescent="0.2">
      <c r="B257" s="21"/>
      <c r="E257" s="422"/>
      <c r="F257" s="422"/>
      <c r="G257" s="422"/>
      <c r="H257" s="422"/>
      <c r="I257" s="422"/>
      <c r="J257" s="422"/>
      <c r="K257" s="422"/>
      <c r="L257" s="422"/>
      <c r="M257" s="422"/>
      <c r="N257" s="422"/>
      <c r="O257" s="422"/>
      <c r="P257" s="422"/>
      <c r="Q257" s="29"/>
      <c r="R257" s="24"/>
      <c r="U257" s="29"/>
      <c r="V257" s="29"/>
    </row>
    <row r="258" spans="2:22" x14ac:dyDescent="0.2">
      <c r="B258" s="21"/>
      <c r="E258" s="422"/>
      <c r="F258" s="422"/>
      <c r="G258" s="422"/>
      <c r="H258" s="422"/>
      <c r="I258" s="422"/>
      <c r="J258" s="422"/>
      <c r="K258" s="422"/>
      <c r="L258" s="422"/>
      <c r="M258" s="422"/>
      <c r="N258" s="422"/>
      <c r="O258" s="422"/>
      <c r="P258" s="422"/>
      <c r="Q258" s="29"/>
      <c r="R258" s="24"/>
      <c r="U258" s="29"/>
      <c r="V258" s="29"/>
    </row>
    <row r="259" spans="2:22" x14ac:dyDescent="0.2">
      <c r="B259" s="21"/>
      <c r="E259" s="422"/>
      <c r="F259" s="422"/>
      <c r="G259" s="422"/>
      <c r="H259" s="422"/>
      <c r="I259" s="422"/>
      <c r="J259" s="422"/>
      <c r="K259" s="422"/>
      <c r="L259" s="422"/>
      <c r="M259" s="422"/>
      <c r="N259" s="422"/>
      <c r="O259" s="422"/>
      <c r="P259" s="422"/>
      <c r="Q259" s="29"/>
      <c r="R259" s="24"/>
      <c r="U259" s="29"/>
      <c r="V259" s="29"/>
    </row>
    <row r="260" spans="2:22" x14ac:dyDescent="0.2">
      <c r="B260" s="21"/>
      <c r="E260" s="422"/>
      <c r="F260" s="422"/>
      <c r="G260" s="422"/>
      <c r="H260" s="422"/>
      <c r="I260" s="422"/>
      <c r="J260" s="422"/>
      <c r="K260" s="422"/>
      <c r="L260" s="422"/>
      <c r="M260" s="422"/>
      <c r="N260" s="422"/>
      <c r="O260" s="422"/>
      <c r="P260" s="422"/>
      <c r="Q260" s="29"/>
      <c r="R260" s="24"/>
      <c r="U260" s="29"/>
      <c r="V260" s="29"/>
    </row>
    <row r="261" spans="2:22" x14ac:dyDescent="0.2">
      <c r="B261" s="21"/>
      <c r="E261" s="422"/>
      <c r="F261" s="422"/>
      <c r="G261" s="422"/>
      <c r="H261" s="422"/>
      <c r="I261" s="422"/>
      <c r="J261" s="422"/>
      <c r="K261" s="422"/>
      <c r="L261" s="422"/>
      <c r="M261" s="422"/>
      <c r="N261" s="422"/>
      <c r="O261" s="422"/>
      <c r="P261" s="422"/>
      <c r="Q261" s="29"/>
      <c r="R261" s="24"/>
      <c r="U261" s="29"/>
      <c r="V261" s="29"/>
    </row>
    <row r="262" spans="2:22" x14ac:dyDescent="0.2">
      <c r="B262" s="21"/>
      <c r="E262" s="422"/>
      <c r="F262" s="422"/>
      <c r="G262" s="422"/>
      <c r="H262" s="422"/>
      <c r="I262" s="422"/>
      <c r="J262" s="422"/>
      <c r="K262" s="422"/>
      <c r="L262" s="422"/>
      <c r="M262" s="422"/>
      <c r="N262" s="422"/>
      <c r="O262" s="422"/>
      <c r="P262" s="422"/>
      <c r="Q262" s="29"/>
      <c r="R262" s="24"/>
      <c r="U262" s="29"/>
      <c r="V262" s="29"/>
    </row>
    <row r="263" spans="2:22" x14ac:dyDescent="0.2">
      <c r="B263" s="21"/>
      <c r="E263" s="422"/>
      <c r="F263" s="422"/>
      <c r="G263" s="422"/>
      <c r="H263" s="422"/>
      <c r="I263" s="422"/>
      <c r="J263" s="422"/>
      <c r="K263" s="422"/>
      <c r="L263" s="422"/>
      <c r="M263" s="422"/>
      <c r="N263" s="422"/>
      <c r="O263" s="422"/>
      <c r="P263" s="422"/>
      <c r="Q263" s="29"/>
      <c r="R263" s="24"/>
      <c r="U263" s="29"/>
      <c r="V263" s="29"/>
    </row>
    <row r="264" spans="2:22" x14ac:dyDescent="0.2">
      <c r="B264" s="21"/>
      <c r="E264" s="422"/>
      <c r="F264" s="422"/>
      <c r="G264" s="422"/>
      <c r="H264" s="422"/>
      <c r="I264" s="422"/>
      <c r="J264" s="422"/>
      <c r="K264" s="422"/>
      <c r="L264" s="422"/>
      <c r="M264" s="422"/>
      <c r="N264" s="422"/>
      <c r="O264" s="422"/>
      <c r="P264" s="422"/>
      <c r="Q264" s="29"/>
      <c r="R264" s="24"/>
      <c r="U264" s="29"/>
      <c r="V264" s="29"/>
    </row>
    <row r="265" spans="2:22" x14ac:dyDescent="0.2">
      <c r="B265" s="21"/>
      <c r="E265" s="422"/>
      <c r="F265" s="422"/>
      <c r="G265" s="422"/>
      <c r="H265" s="422"/>
      <c r="I265" s="422"/>
      <c r="J265" s="422"/>
      <c r="K265" s="422"/>
      <c r="L265" s="422"/>
      <c r="M265" s="422"/>
      <c r="N265" s="422"/>
      <c r="O265" s="422"/>
      <c r="P265" s="422"/>
      <c r="Q265" s="29"/>
      <c r="R265" s="24"/>
      <c r="U265" s="29"/>
      <c r="V265" s="29"/>
    </row>
    <row r="266" spans="2:22" x14ac:dyDescent="0.2">
      <c r="B266" s="21"/>
      <c r="E266" s="422"/>
      <c r="F266" s="422"/>
      <c r="G266" s="422"/>
      <c r="H266" s="422"/>
      <c r="I266" s="422"/>
      <c r="J266" s="422"/>
      <c r="K266" s="422"/>
      <c r="L266" s="422"/>
      <c r="M266" s="422"/>
      <c r="N266" s="422"/>
      <c r="O266" s="422"/>
      <c r="P266" s="422"/>
      <c r="Q266" s="29"/>
      <c r="R266" s="24"/>
      <c r="U266" s="29"/>
      <c r="V266" s="29"/>
    </row>
    <row r="267" spans="2:22" x14ac:dyDescent="0.2">
      <c r="B267" s="21"/>
      <c r="E267" s="422"/>
      <c r="F267" s="422"/>
      <c r="G267" s="422"/>
      <c r="H267" s="422"/>
      <c r="I267" s="422"/>
      <c r="J267" s="422"/>
      <c r="K267" s="422"/>
      <c r="L267" s="422"/>
      <c r="M267" s="422"/>
      <c r="N267" s="422"/>
      <c r="O267" s="422"/>
      <c r="P267" s="422"/>
      <c r="Q267" s="29"/>
      <c r="R267" s="24"/>
      <c r="U267" s="29"/>
      <c r="V267" s="29"/>
    </row>
    <row r="268" spans="2:22" x14ac:dyDescent="0.2">
      <c r="B268" s="21"/>
      <c r="E268" s="422"/>
      <c r="F268" s="422"/>
      <c r="G268" s="422"/>
      <c r="H268" s="422"/>
      <c r="I268" s="422"/>
      <c r="J268" s="422"/>
      <c r="K268" s="422"/>
      <c r="L268" s="422"/>
      <c r="M268" s="422"/>
      <c r="N268" s="422"/>
      <c r="O268" s="422"/>
      <c r="P268" s="422"/>
      <c r="Q268" s="29"/>
      <c r="R268" s="24"/>
      <c r="U268" s="29"/>
      <c r="V268" s="29"/>
    </row>
    <row r="269" spans="2:22" x14ac:dyDescent="0.2">
      <c r="B269" s="21"/>
      <c r="E269" s="422"/>
      <c r="F269" s="422"/>
      <c r="G269" s="422"/>
      <c r="H269" s="422"/>
      <c r="I269" s="422"/>
      <c r="J269" s="422"/>
      <c r="K269" s="422"/>
      <c r="L269" s="422"/>
      <c r="M269" s="422"/>
      <c r="N269" s="422"/>
      <c r="O269" s="422"/>
      <c r="P269" s="422"/>
      <c r="Q269" s="29"/>
      <c r="R269" s="24"/>
      <c r="U269" s="29"/>
      <c r="V269" s="29"/>
    </row>
    <row r="270" spans="2:22" x14ac:dyDescent="0.2">
      <c r="B270" s="21"/>
      <c r="E270" s="422"/>
      <c r="F270" s="422"/>
      <c r="G270" s="422"/>
      <c r="H270" s="422"/>
      <c r="I270" s="422"/>
      <c r="J270" s="422"/>
      <c r="K270" s="422"/>
      <c r="L270" s="422"/>
      <c r="M270" s="422"/>
      <c r="N270" s="422"/>
      <c r="O270" s="422"/>
      <c r="P270" s="422"/>
      <c r="Q270" s="29"/>
      <c r="R270" s="24"/>
      <c r="U270" s="29"/>
      <c r="V270" s="29"/>
    </row>
    <row r="271" spans="2:22" x14ac:dyDescent="0.2">
      <c r="B271" s="21"/>
      <c r="E271" s="422"/>
      <c r="F271" s="422"/>
      <c r="G271" s="422"/>
      <c r="H271" s="422"/>
      <c r="I271" s="422"/>
      <c r="J271" s="422"/>
      <c r="K271" s="422"/>
      <c r="L271" s="422"/>
      <c r="M271" s="422"/>
      <c r="N271" s="422"/>
      <c r="O271" s="422"/>
      <c r="P271" s="422"/>
      <c r="Q271" s="29"/>
      <c r="R271" s="24"/>
      <c r="U271" s="29"/>
      <c r="V271" s="29"/>
    </row>
    <row r="272" spans="2:22" x14ac:dyDescent="0.2">
      <c r="B272" s="21"/>
      <c r="E272" s="422"/>
      <c r="F272" s="422"/>
      <c r="G272" s="422"/>
      <c r="H272" s="422"/>
      <c r="I272" s="422"/>
      <c r="J272" s="422"/>
      <c r="K272" s="422"/>
      <c r="L272" s="422"/>
      <c r="M272" s="422"/>
      <c r="N272" s="422"/>
      <c r="O272" s="422"/>
      <c r="P272" s="422"/>
      <c r="Q272" s="29"/>
      <c r="R272" s="24"/>
      <c r="U272" s="29"/>
      <c r="V272" s="29"/>
    </row>
    <row r="273" spans="2:22" x14ac:dyDescent="0.2">
      <c r="B273" s="21"/>
      <c r="E273" s="422"/>
      <c r="F273" s="422"/>
      <c r="G273" s="422"/>
      <c r="H273" s="422"/>
      <c r="I273" s="422"/>
      <c r="J273" s="422"/>
      <c r="K273" s="422"/>
      <c r="L273" s="422"/>
      <c r="M273" s="422"/>
      <c r="N273" s="422"/>
      <c r="O273" s="422"/>
      <c r="P273" s="422"/>
      <c r="Q273" s="29"/>
      <c r="R273" s="24"/>
      <c r="U273" s="29"/>
      <c r="V273" s="29"/>
    </row>
    <row r="274" spans="2:22" x14ac:dyDescent="0.2">
      <c r="B274" s="21"/>
      <c r="E274" s="422"/>
      <c r="F274" s="422"/>
      <c r="G274" s="422"/>
      <c r="H274" s="422"/>
      <c r="I274" s="422"/>
      <c r="J274" s="422"/>
      <c r="K274" s="422"/>
      <c r="L274" s="422"/>
      <c r="M274" s="422"/>
      <c r="N274" s="422"/>
      <c r="O274" s="422"/>
      <c r="P274" s="422"/>
      <c r="Q274" s="29"/>
      <c r="R274" s="24"/>
      <c r="U274" s="29"/>
      <c r="V274" s="29"/>
    </row>
    <row r="275" spans="2:22" x14ac:dyDescent="0.2">
      <c r="B275" s="21"/>
      <c r="E275" s="422"/>
      <c r="F275" s="422"/>
      <c r="G275" s="422"/>
      <c r="H275" s="422"/>
      <c r="I275" s="422"/>
      <c r="J275" s="422"/>
      <c r="K275" s="422"/>
      <c r="L275" s="422"/>
      <c r="M275" s="422"/>
      <c r="N275" s="422"/>
      <c r="O275" s="422"/>
      <c r="P275" s="422"/>
      <c r="Q275" s="29"/>
      <c r="R275" s="24"/>
      <c r="U275" s="29"/>
      <c r="V275" s="29"/>
    </row>
    <row r="276" spans="2:22" x14ac:dyDescent="0.2">
      <c r="B276" s="21"/>
      <c r="E276" s="422"/>
      <c r="F276" s="422"/>
      <c r="G276" s="422"/>
      <c r="H276" s="422"/>
      <c r="I276" s="422"/>
      <c r="J276" s="422"/>
      <c r="K276" s="422"/>
      <c r="L276" s="422"/>
      <c r="M276" s="422"/>
      <c r="N276" s="422"/>
      <c r="O276" s="422"/>
      <c r="P276" s="422"/>
      <c r="Q276" s="29"/>
      <c r="R276" s="24"/>
      <c r="U276" s="29"/>
      <c r="V276" s="29"/>
    </row>
    <row r="277" spans="2:22" x14ac:dyDescent="0.2">
      <c r="B277" s="21"/>
      <c r="E277" s="422"/>
      <c r="F277" s="422"/>
      <c r="G277" s="422"/>
      <c r="H277" s="422"/>
      <c r="I277" s="422"/>
      <c r="J277" s="422"/>
      <c r="K277" s="422"/>
      <c r="L277" s="422"/>
      <c r="M277" s="422"/>
      <c r="N277" s="422"/>
      <c r="O277" s="422"/>
      <c r="P277" s="422"/>
      <c r="Q277" s="29"/>
      <c r="R277" s="24"/>
      <c r="U277" s="29"/>
      <c r="V277" s="29"/>
    </row>
    <row r="278" spans="2:22" x14ac:dyDescent="0.2">
      <c r="B278" s="21"/>
      <c r="E278" s="422"/>
      <c r="F278" s="422"/>
      <c r="G278" s="422"/>
      <c r="H278" s="422"/>
      <c r="I278" s="422"/>
      <c r="J278" s="422"/>
      <c r="K278" s="422"/>
      <c r="L278" s="422"/>
      <c r="M278" s="422"/>
      <c r="N278" s="422"/>
      <c r="O278" s="422"/>
      <c r="P278" s="422"/>
      <c r="Q278" s="29"/>
      <c r="R278" s="24"/>
      <c r="U278" s="29"/>
      <c r="V278" s="29"/>
    </row>
    <row r="279" spans="2:22" x14ac:dyDescent="0.2">
      <c r="B279" s="21"/>
      <c r="E279" s="422"/>
      <c r="F279" s="422"/>
      <c r="G279" s="422"/>
      <c r="H279" s="422"/>
      <c r="I279" s="422"/>
      <c r="J279" s="422"/>
      <c r="K279" s="422"/>
      <c r="L279" s="422"/>
      <c r="M279" s="422"/>
      <c r="N279" s="422"/>
      <c r="O279" s="422"/>
      <c r="P279" s="422"/>
      <c r="Q279" s="29"/>
      <c r="R279" s="24"/>
      <c r="U279" s="29"/>
      <c r="V279" s="29"/>
    </row>
    <row r="280" spans="2:22" x14ac:dyDescent="0.2">
      <c r="B280" s="21"/>
      <c r="E280" s="422"/>
      <c r="F280" s="422"/>
      <c r="G280" s="422"/>
      <c r="H280" s="422"/>
      <c r="I280" s="422"/>
      <c r="J280" s="422"/>
      <c r="K280" s="422"/>
      <c r="L280" s="422"/>
      <c r="M280" s="422"/>
      <c r="N280" s="422"/>
      <c r="O280" s="422"/>
      <c r="P280" s="422"/>
      <c r="Q280" s="29"/>
      <c r="R280" s="24"/>
      <c r="U280" s="29"/>
      <c r="V280" s="29"/>
    </row>
    <row r="281" spans="2:22" x14ac:dyDescent="0.2">
      <c r="B281" s="21"/>
      <c r="E281" s="422"/>
      <c r="F281" s="422"/>
      <c r="G281" s="422"/>
      <c r="H281" s="422"/>
      <c r="I281" s="422"/>
      <c r="J281" s="422"/>
      <c r="K281" s="422"/>
      <c r="L281" s="422"/>
      <c r="M281" s="422"/>
      <c r="N281" s="422"/>
      <c r="O281" s="422"/>
      <c r="P281" s="422"/>
      <c r="Q281" s="29"/>
      <c r="R281" s="24"/>
      <c r="U281" s="29"/>
      <c r="V281" s="29"/>
    </row>
    <row r="282" spans="2:22" x14ac:dyDescent="0.2">
      <c r="B282" s="21"/>
      <c r="E282" s="422"/>
      <c r="F282" s="422"/>
      <c r="G282" s="422"/>
      <c r="H282" s="422"/>
      <c r="I282" s="422"/>
      <c r="J282" s="422"/>
      <c r="K282" s="422"/>
      <c r="L282" s="422"/>
      <c r="M282" s="422"/>
      <c r="N282" s="422"/>
      <c r="O282" s="422"/>
      <c r="P282" s="422"/>
      <c r="Q282" s="29"/>
      <c r="R282" s="24"/>
      <c r="U282" s="29"/>
      <c r="V282" s="29"/>
    </row>
    <row r="283" spans="2:22" x14ac:dyDescent="0.2">
      <c r="B283" s="21"/>
      <c r="E283" s="422"/>
      <c r="F283" s="422"/>
      <c r="G283" s="422"/>
      <c r="H283" s="422"/>
      <c r="I283" s="422"/>
      <c r="J283" s="422"/>
      <c r="K283" s="422"/>
      <c r="L283" s="422"/>
      <c r="M283" s="422"/>
      <c r="N283" s="422"/>
      <c r="O283" s="422"/>
      <c r="P283" s="422"/>
      <c r="Q283" s="29"/>
      <c r="R283" s="24"/>
      <c r="U283" s="29"/>
      <c r="V283" s="29"/>
    </row>
    <row r="284" spans="2:22" x14ac:dyDescent="0.2">
      <c r="B284" s="21"/>
      <c r="E284" s="422"/>
      <c r="F284" s="422"/>
      <c r="G284" s="422"/>
      <c r="H284" s="422"/>
      <c r="I284" s="422"/>
      <c r="J284" s="422"/>
      <c r="K284" s="422"/>
      <c r="L284" s="422"/>
      <c r="M284" s="422"/>
      <c r="N284" s="422"/>
      <c r="O284" s="422"/>
      <c r="P284" s="422"/>
      <c r="Q284" s="29"/>
      <c r="R284" s="24"/>
      <c r="U284" s="29"/>
      <c r="V284" s="29"/>
    </row>
    <row r="285" spans="2:22" x14ac:dyDescent="0.2">
      <c r="B285" s="21"/>
      <c r="E285" s="422"/>
      <c r="F285" s="422"/>
      <c r="G285" s="422"/>
      <c r="H285" s="422"/>
      <c r="I285" s="422"/>
      <c r="J285" s="422"/>
      <c r="K285" s="422"/>
      <c r="L285" s="422"/>
      <c r="M285" s="422"/>
      <c r="N285" s="422"/>
      <c r="O285" s="422"/>
      <c r="P285" s="422"/>
      <c r="Q285" s="29"/>
      <c r="R285" s="24"/>
      <c r="U285" s="29"/>
      <c r="V285" s="29"/>
    </row>
    <row r="286" spans="2:22" x14ac:dyDescent="0.2">
      <c r="B286" s="21"/>
      <c r="E286" s="422"/>
      <c r="F286" s="422"/>
      <c r="G286" s="422"/>
      <c r="H286" s="422"/>
      <c r="I286" s="422"/>
      <c r="J286" s="422"/>
      <c r="K286" s="422"/>
      <c r="L286" s="422"/>
      <c r="M286" s="422"/>
      <c r="N286" s="422"/>
      <c r="O286" s="422"/>
      <c r="P286" s="422"/>
      <c r="Q286" s="29"/>
      <c r="R286" s="24"/>
      <c r="U286" s="29"/>
      <c r="V286" s="29"/>
    </row>
    <row r="287" spans="2:22" x14ac:dyDescent="0.2">
      <c r="B287" s="21"/>
      <c r="E287" s="422"/>
      <c r="F287" s="422"/>
      <c r="G287" s="422"/>
      <c r="H287" s="422"/>
      <c r="I287" s="422"/>
      <c r="J287" s="422"/>
      <c r="K287" s="422"/>
      <c r="L287" s="422"/>
      <c r="M287" s="422"/>
      <c r="N287" s="422"/>
      <c r="O287" s="422"/>
      <c r="P287" s="422"/>
      <c r="Q287" s="29"/>
      <c r="R287" s="24"/>
      <c r="U287" s="29"/>
      <c r="V287" s="29"/>
    </row>
    <row r="288" spans="2:22" x14ac:dyDescent="0.2">
      <c r="B288" s="21"/>
      <c r="E288" s="422"/>
      <c r="F288" s="422"/>
      <c r="G288" s="422"/>
      <c r="H288" s="422"/>
      <c r="I288" s="422"/>
      <c r="J288" s="422"/>
      <c r="K288" s="422"/>
      <c r="L288" s="422"/>
      <c r="M288" s="422"/>
      <c r="N288" s="422"/>
      <c r="O288" s="422"/>
      <c r="P288" s="422"/>
      <c r="Q288" s="29"/>
      <c r="R288" s="24"/>
      <c r="U288" s="29"/>
      <c r="V288" s="29"/>
    </row>
    <row r="289" spans="2:22" x14ac:dyDescent="0.2">
      <c r="B289" s="21"/>
      <c r="E289" s="422"/>
      <c r="F289" s="422"/>
      <c r="G289" s="422"/>
      <c r="H289" s="422"/>
      <c r="I289" s="422"/>
      <c r="J289" s="422"/>
      <c r="K289" s="422"/>
      <c r="L289" s="422"/>
      <c r="M289" s="422"/>
      <c r="N289" s="422"/>
      <c r="O289" s="422"/>
      <c r="P289" s="422"/>
      <c r="Q289" s="29"/>
      <c r="R289" s="24"/>
      <c r="U289" s="29"/>
      <c r="V289" s="29"/>
    </row>
    <row r="290" spans="2:22" x14ac:dyDescent="0.2">
      <c r="B290" s="21"/>
      <c r="E290" s="422"/>
      <c r="F290" s="422"/>
      <c r="G290" s="422"/>
      <c r="H290" s="422"/>
      <c r="I290" s="422"/>
      <c r="J290" s="422"/>
      <c r="K290" s="422"/>
      <c r="L290" s="422"/>
      <c r="M290" s="422"/>
      <c r="N290" s="422"/>
      <c r="O290" s="422"/>
      <c r="P290" s="422"/>
      <c r="Q290" s="29"/>
      <c r="R290" s="24"/>
      <c r="U290" s="29"/>
      <c r="V290" s="29"/>
    </row>
    <row r="291" spans="2:22" x14ac:dyDescent="0.2">
      <c r="B291" s="21"/>
      <c r="E291" s="422"/>
      <c r="F291" s="422"/>
      <c r="G291" s="422"/>
      <c r="H291" s="422"/>
      <c r="I291" s="422"/>
      <c r="J291" s="422"/>
      <c r="K291" s="422"/>
      <c r="L291" s="422"/>
      <c r="M291" s="422"/>
      <c r="N291" s="422"/>
      <c r="O291" s="422"/>
      <c r="P291" s="422"/>
      <c r="Q291" s="29"/>
      <c r="R291" s="24"/>
      <c r="U291" s="29"/>
      <c r="V291" s="29"/>
    </row>
    <row r="292" spans="2:22" x14ac:dyDescent="0.2">
      <c r="B292" s="21"/>
      <c r="E292" s="422"/>
      <c r="F292" s="422"/>
      <c r="G292" s="422"/>
      <c r="H292" s="422"/>
      <c r="I292" s="422"/>
      <c r="J292" s="422"/>
      <c r="K292" s="422"/>
      <c r="L292" s="422"/>
      <c r="M292" s="422"/>
      <c r="N292" s="422"/>
      <c r="O292" s="422"/>
      <c r="P292" s="422"/>
      <c r="Q292" s="29"/>
      <c r="R292" s="24"/>
      <c r="U292" s="29"/>
      <c r="V292" s="29"/>
    </row>
    <row r="293" spans="2:22" x14ac:dyDescent="0.2">
      <c r="B293" s="21"/>
      <c r="E293" s="422"/>
      <c r="F293" s="422"/>
      <c r="G293" s="422"/>
      <c r="H293" s="422"/>
      <c r="I293" s="422"/>
      <c r="J293" s="422"/>
      <c r="K293" s="422"/>
      <c r="L293" s="422"/>
      <c r="M293" s="422"/>
      <c r="N293" s="422"/>
      <c r="O293" s="422"/>
      <c r="P293" s="422"/>
      <c r="Q293" s="29"/>
      <c r="R293" s="24"/>
      <c r="U293" s="29"/>
      <c r="V293" s="29"/>
    </row>
    <row r="294" spans="2:22" x14ac:dyDescent="0.2">
      <c r="B294" s="21"/>
      <c r="E294" s="422"/>
      <c r="F294" s="422"/>
      <c r="G294" s="422"/>
      <c r="H294" s="422"/>
      <c r="I294" s="422"/>
      <c r="J294" s="422"/>
      <c r="K294" s="422"/>
      <c r="L294" s="422"/>
      <c r="M294" s="422"/>
      <c r="N294" s="422"/>
      <c r="O294" s="422"/>
      <c r="P294" s="422"/>
      <c r="Q294" s="29"/>
      <c r="R294" s="24"/>
      <c r="U294" s="29"/>
      <c r="V294" s="29"/>
    </row>
    <row r="295" spans="2:22" x14ac:dyDescent="0.2">
      <c r="B295" s="21"/>
      <c r="E295" s="422"/>
      <c r="F295" s="422"/>
      <c r="G295" s="422"/>
      <c r="H295" s="422"/>
      <c r="I295" s="422"/>
      <c r="J295" s="422"/>
      <c r="K295" s="422"/>
      <c r="L295" s="422"/>
      <c r="M295" s="422"/>
      <c r="N295" s="422"/>
      <c r="O295" s="422"/>
      <c r="P295" s="422"/>
      <c r="Q295" s="29"/>
      <c r="R295" s="24"/>
      <c r="U295" s="29"/>
      <c r="V295" s="29"/>
    </row>
    <row r="296" spans="2:22" x14ac:dyDescent="0.2">
      <c r="B296" s="21"/>
      <c r="E296" s="422"/>
      <c r="F296" s="422"/>
      <c r="G296" s="422"/>
      <c r="H296" s="422"/>
      <c r="I296" s="422"/>
      <c r="J296" s="422"/>
      <c r="K296" s="422"/>
      <c r="L296" s="422"/>
      <c r="M296" s="422"/>
      <c r="N296" s="422"/>
      <c r="O296" s="422"/>
      <c r="P296" s="422"/>
      <c r="Q296" s="29"/>
      <c r="R296" s="24"/>
      <c r="U296" s="29"/>
      <c r="V296" s="29"/>
    </row>
    <row r="297" spans="2:22" x14ac:dyDescent="0.2">
      <c r="B297" s="21"/>
      <c r="E297" s="422"/>
      <c r="F297" s="422"/>
      <c r="G297" s="422"/>
      <c r="H297" s="422"/>
      <c r="I297" s="422"/>
      <c r="J297" s="422"/>
      <c r="K297" s="422"/>
      <c r="L297" s="422"/>
      <c r="M297" s="422"/>
      <c r="N297" s="422"/>
      <c r="O297" s="422"/>
      <c r="P297" s="422"/>
      <c r="Q297" s="29"/>
      <c r="R297" s="24"/>
      <c r="U297" s="29"/>
      <c r="V297" s="29"/>
    </row>
    <row r="298" spans="2:22" x14ac:dyDescent="0.2">
      <c r="B298" s="21"/>
      <c r="E298" s="422"/>
      <c r="F298" s="422"/>
      <c r="G298" s="422"/>
      <c r="H298" s="422"/>
      <c r="I298" s="422"/>
      <c r="J298" s="422"/>
      <c r="K298" s="422"/>
      <c r="L298" s="422"/>
      <c r="M298" s="422"/>
      <c r="N298" s="422"/>
      <c r="O298" s="422"/>
      <c r="P298" s="422"/>
      <c r="Q298" s="29"/>
      <c r="R298" s="24"/>
      <c r="U298" s="29"/>
      <c r="V298" s="29"/>
    </row>
    <row r="299" spans="2:22" x14ac:dyDescent="0.2">
      <c r="B299" s="21"/>
      <c r="E299" s="422"/>
      <c r="F299" s="422"/>
      <c r="G299" s="422"/>
      <c r="H299" s="422"/>
      <c r="I299" s="422"/>
      <c r="J299" s="422"/>
      <c r="K299" s="422"/>
      <c r="L299" s="422"/>
      <c r="M299" s="422"/>
      <c r="N299" s="422"/>
      <c r="O299" s="422"/>
      <c r="P299" s="422"/>
      <c r="Q299" s="29"/>
      <c r="R299" s="24"/>
      <c r="U299" s="29"/>
      <c r="V299" s="29"/>
    </row>
    <row r="300" spans="2:22" x14ac:dyDescent="0.2">
      <c r="B300" s="21"/>
      <c r="E300" s="422"/>
      <c r="F300" s="422"/>
      <c r="G300" s="422"/>
      <c r="H300" s="422"/>
      <c r="I300" s="422"/>
      <c r="J300" s="422"/>
      <c r="K300" s="422"/>
      <c r="L300" s="422"/>
      <c r="M300" s="422"/>
      <c r="N300" s="422"/>
      <c r="O300" s="422"/>
      <c r="P300" s="422"/>
      <c r="Q300" s="29"/>
      <c r="R300" s="24"/>
      <c r="U300" s="29"/>
      <c r="V300" s="29"/>
    </row>
    <row r="301" spans="2:22" x14ac:dyDescent="0.2">
      <c r="B301" s="21"/>
      <c r="E301" s="422"/>
      <c r="F301" s="422"/>
      <c r="G301" s="422"/>
      <c r="H301" s="422"/>
      <c r="I301" s="422"/>
      <c r="J301" s="422"/>
      <c r="K301" s="422"/>
      <c r="L301" s="422"/>
      <c r="M301" s="422"/>
      <c r="N301" s="422"/>
      <c r="O301" s="422"/>
      <c r="P301" s="422"/>
      <c r="Q301" s="29"/>
      <c r="R301" s="24"/>
      <c r="U301" s="29"/>
      <c r="V301" s="29"/>
    </row>
    <row r="302" spans="2:22" x14ac:dyDescent="0.2">
      <c r="B302" s="21"/>
      <c r="E302" s="422"/>
      <c r="F302" s="422"/>
      <c r="G302" s="422"/>
      <c r="H302" s="422"/>
      <c r="I302" s="422"/>
      <c r="J302" s="422"/>
      <c r="K302" s="422"/>
      <c r="L302" s="422"/>
      <c r="M302" s="422"/>
      <c r="N302" s="422"/>
      <c r="O302" s="422"/>
      <c r="P302" s="422"/>
      <c r="Q302" s="29"/>
      <c r="R302" s="24"/>
      <c r="U302" s="29"/>
      <c r="V302" s="29"/>
    </row>
    <row r="303" spans="2:22" x14ac:dyDescent="0.2">
      <c r="B303" s="21"/>
      <c r="E303" s="422"/>
      <c r="F303" s="422"/>
      <c r="G303" s="422"/>
      <c r="H303" s="422"/>
      <c r="I303" s="422"/>
      <c r="J303" s="422"/>
      <c r="K303" s="422"/>
      <c r="L303" s="422"/>
      <c r="M303" s="422"/>
      <c r="N303" s="422"/>
      <c r="O303" s="422"/>
      <c r="P303" s="422"/>
      <c r="Q303" s="29"/>
      <c r="R303" s="24"/>
      <c r="U303" s="29"/>
      <c r="V303" s="29"/>
    </row>
    <row r="304" spans="2:22" x14ac:dyDescent="0.2">
      <c r="B304" s="21"/>
      <c r="E304" s="422"/>
      <c r="F304" s="422"/>
      <c r="G304" s="422"/>
      <c r="H304" s="422"/>
      <c r="I304" s="422"/>
      <c r="J304" s="422"/>
      <c r="K304" s="422"/>
      <c r="L304" s="422"/>
      <c r="M304" s="422"/>
      <c r="N304" s="422"/>
      <c r="O304" s="422"/>
      <c r="P304" s="422"/>
      <c r="Q304" s="29"/>
      <c r="R304" s="24"/>
      <c r="U304" s="29"/>
      <c r="V304" s="29"/>
    </row>
    <row r="305" spans="2:22" x14ac:dyDescent="0.2">
      <c r="B305" s="21"/>
      <c r="E305" s="422"/>
      <c r="F305" s="422"/>
      <c r="G305" s="422"/>
      <c r="H305" s="422"/>
      <c r="I305" s="422"/>
      <c r="J305" s="422"/>
      <c r="K305" s="422"/>
      <c r="L305" s="422"/>
      <c r="M305" s="422"/>
      <c r="N305" s="422"/>
      <c r="O305" s="422"/>
      <c r="P305" s="422"/>
      <c r="Q305" s="29"/>
      <c r="R305" s="24"/>
      <c r="U305" s="29"/>
      <c r="V305" s="29"/>
    </row>
    <row r="306" spans="2:22" x14ac:dyDescent="0.2">
      <c r="B306" s="21"/>
      <c r="E306" s="422"/>
      <c r="F306" s="422"/>
      <c r="G306" s="422"/>
      <c r="H306" s="422"/>
      <c r="I306" s="422"/>
      <c r="J306" s="422"/>
      <c r="K306" s="422"/>
      <c r="L306" s="422"/>
      <c r="M306" s="422"/>
      <c r="N306" s="422"/>
      <c r="O306" s="422"/>
      <c r="P306" s="422"/>
      <c r="Q306" s="29"/>
      <c r="R306" s="24"/>
      <c r="U306" s="29"/>
      <c r="V306" s="29"/>
    </row>
    <row r="307" spans="2:22" x14ac:dyDescent="0.2">
      <c r="B307" s="21"/>
      <c r="E307" s="422"/>
      <c r="F307" s="422"/>
      <c r="G307" s="422"/>
      <c r="H307" s="422"/>
      <c r="I307" s="422"/>
      <c r="J307" s="422"/>
      <c r="K307" s="422"/>
      <c r="L307" s="422"/>
      <c r="M307" s="422"/>
      <c r="N307" s="422"/>
      <c r="O307" s="422"/>
      <c r="P307" s="422"/>
      <c r="Q307" s="29"/>
      <c r="R307" s="24"/>
      <c r="U307" s="29"/>
      <c r="V307" s="29"/>
    </row>
    <row r="308" spans="2:22" x14ac:dyDescent="0.2">
      <c r="B308" s="21"/>
      <c r="E308" s="422"/>
      <c r="F308" s="422"/>
      <c r="G308" s="422"/>
      <c r="H308" s="422"/>
      <c r="I308" s="422"/>
      <c r="J308" s="422"/>
      <c r="K308" s="422"/>
      <c r="L308" s="422"/>
      <c r="M308" s="422"/>
      <c r="N308" s="422"/>
      <c r="O308" s="422"/>
      <c r="P308" s="422"/>
      <c r="Q308" s="29"/>
      <c r="R308" s="24"/>
      <c r="U308" s="29"/>
      <c r="V308" s="29"/>
    </row>
    <row r="309" spans="2:22" x14ac:dyDescent="0.2">
      <c r="B309" s="21"/>
      <c r="E309" s="422"/>
      <c r="F309" s="422"/>
      <c r="G309" s="422"/>
      <c r="H309" s="422"/>
      <c r="I309" s="422"/>
      <c r="J309" s="422"/>
      <c r="K309" s="422"/>
      <c r="L309" s="422"/>
      <c r="M309" s="422"/>
      <c r="N309" s="422"/>
      <c r="O309" s="422"/>
      <c r="P309" s="422"/>
      <c r="Q309" s="29"/>
      <c r="R309" s="24"/>
      <c r="U309" s="29"/>
      <c r="V309" s="29"/>
    </row>
    <row r="310" spans="2:22" x14ac:dyDescent="0.2">
      <c r="B310" s="21"/>
      <c r="E310" s="422"/>
      <c r="F310" s="422"/>
      <c r="G310" s="422"/>
      <c r="H310" s="422"/>
      <c r="I310" s="422"/>
      <c r="J310" s="422"/>
      <c r="K310" s="422"/>
      <c r="L310" s="422"/>
      <c r="M310" s="422"/>
      <c r="N310" s="422"/>
      <c r="O310" s="422"/>
      <c r="P310" s="422"/>
      <c r="Q310" s="29"/>
      <c r="R310" s="24"/>
      <c r="U310" s="29"/>
      <c r="V310" s="29"/>
    </row>
    <row r="311" spans="2:22" x14ac:dyDescent="0.2">
      <c r="B311" s="21"/>
      <c r="E311" s="422"/>
      <c r="F311" s="422"/>
      <c r="G311" s="422"/>
      <c r="H311" s="422"/>
      <c r="I311" s="422"/>
      <c r="J311" s="422"/>
      <c r="K311" s="422"/>
      <c r="L311" s="422"/>
      <c r="M311" s="422"/>
      <c r="N311" s="422"/>
      <c r="O311" s="422"/>
      <c r="P311" s="422"/>
      <c r="Q311" s="29"/>
      <c r="R311" s="24"/>
      <c r="U311" s="29"/>
      <c r="V311" s="29"/>
    </row>
    <row r="312" spans="2:22" x14ac:dyDescent="0.2">
      <c r="B312" s="21"/>
      <c r="E312" s="422"/>
      <c r="F312" s="422"/>
      <c r="G312" s="422"/>
      <c r="H312" s="422"/>
      <c r="I312" s="422"/>
      <c r="J312" s="422"/>
      <c r="K312" s="422"/>
      <c r="L312" s="422"/>
      <c r="M312" s="422"/>
      <c r="N312" s="422"/>
      <c r="O312" s="422"/>
      <c r="P312" s="422"/>
      <c r="Q312" s="29"/>
      <c r="R312" s="24"/>
      <c r="U312" s="29"/>
      <c r="V312" s="29"/>
    </row>
    <row r="313" spans="2:22" x14ac:dyDescent="0.2">
      <c r="B313" s="21"/>
      <c r="E313" s="422"/>
      <c r="F313" s="422"/>
      <c r="G313" s="422"/>
      <c r="H313" s="422"/>
      <c r="I313" s="422"/>
      <c r="J313" s="422"/>
      <c r="K313" s="422"/>
      <c r="L313" s="422"/>
      <c r="M313" s="422"/>
      <c r="N313" s="422"/>
      <c r="O313" s="422"/>
      <c r="P313" s="422"/>
      <c r="Q313" s="29"/>
      <c r="R313" s="24"/>
      <c r="U313" s="29"/>
      <c r="V313" s="29"/>
    </row>
    <row r="314" spans="2:22" x14ac:dyDescent="0.2">
      <c r="B314" s="21"/>
      <c r="E314" s="422"/>
      <c r="F314" s="422"/>
      <c r="G314" s="422"/>
      <c r="H314" s="422"/>
      <c r="I314" s="422"/>
      <c r="J314" s="422"/>
      <c r="K314" s="422"/>
      <c r="L314" s="422"/>
      <c r="M314" s="422"/>
      <c r="N314" s="422"/>
      <c r="O314" s="422"/>
      <c r="P314" s="422"/>
      <c r="Q314" s="29"/>
      <c r="R314" s="24"/>
      <c r="U314" s="29"/>
      <c r="V314" s="29"/>
    </row>
    <row r="315" spans="2:22" x14ac:dyDescent="0.2">
      <c r="B315" s="21"/>
      <c r="E315" s="422"/>
      <c r="F315" s="422"/>
      <c r="G315" s="422"/>
      <c r="H315" s="422"/>
      <c r="I315" s="422"/>
      <c r="J315" s="422"/>
      <c r="K315" s="422"/>
      <c r="L315" s="422"/>
      <c r="M315" s="422"/>
      <c r="N315" s="422"/>
      <c r="O315" s="422"/>
      <c r="P315" s="422"/>
      <c r="Q315" s="29"/>
      <c r="R315" s="24"/>
      <c r="U315" s="29"/>
      <c r="V315" s="29"/>
    </row>
    <row r="316" spans="2:22" x14ac:dyDescent="0.2">
      <c r="B316" s="21"/>
      <c r="E316" s="422"/>
      <c r="F316" s="422"/>
      <c r="G316" s="422"/>
      <c r="H316" s="422"/>
      <c r="I316" s="422"/>
      <c r="J316" s="422"/>
      <c r="K316" s="422"/>
      <c r="L316" s="422"/>
      <c r="M316" s="422"/>
      <c r="N316" s="422"/>
      <c r="O316" s="422"/>
      <c r="P316" s="422"/>
      <c r="Q316" s="29"/>
      <c r="R316" s="24"/>
      <c r="U316" s="29"/>
      <c r="V316" s="29"/>
    </row>
    <row r="317" spans="2:22" x14ac:dyDescent="0.2">
      <c r="B317" s="21"/>
      <c r="E317" s="422"/>
      <c r="F317" s="422"/>
      <c r="G317" s="422"/>
      <c r="H317" s="422"/>
      <c r="I317" s="422"/>
      <c r="J317" s="422"/>
      <c r="K317" s="422"/>
      <c r="L317" s="422"/>
      <c r="M317" s="422"/>
      <c r="N317" s="422"/>
      <c r="O317" s="422"/>
      <c r="P317" s="422"/>
      <c r="Q317" s="29"/>
      <c r="R317" s="24"/>
      <c r="U317" s="29"/>
      <c r="V317" s="29"/>
    </row>
    <row r="318" spans="2:22" x14ac:dyDescent="0.2">
      <c r="B318" s="21"/>
      <c r="E318" s="422"/>
      <c r="F318" s="422"/>
      <c r="G318" s="422"/>
      <c r="H318" s="422"/>
      <c r="I318" s="422"/>
      <c r="J318" s="422"/>
      <c r="K318" s="422"/>
      <c r="L318" s="422"/>
      <c r="M318" s="422"/>
      <c r="N318" s="422"/>
      <c r="O318" s="422"/>
      <c r="P318" s="422"/>
      <c r="Q318" s="29"/>
      <c r="R318" s="24"/>
      <c r="U318" s="29"/>
      <c r="V318" s="29"/>
    </row>
    <row r="319" spans="2:22" x14ac:dyDescent="0.2">
      <c r="B319" s="21"/>
      <c r="E319" s="422"/>
      <c r="F319" s="422"/>
      <c r="G319" s="422"/>
      <c r="H319" s="422"/>
      <c r="I319" s="422"/>
      <c r="J319" s="422"/>
      <c r="K319" s="422"/>
      <c r="L319" s="422"/>
      <c r="M319" s="422"/>
      <c r="N319" s="422"/>
      <c r="O319" s="422"/>
      <c r="P319" s="422"/>
      <c r="Q319" s="29"/>
      <c r="R319" s="24"/>
      <c r="U319" s="29"/>
      <c r="V319" s="29"/>
    </row>
    <row r="320" spans="2:22" x14ac:dyDescent="0.2">
      <c r="B320" s="21"/>
      <c r="E320" s="422"/>
      <c r="F320" s="422"/>
      <c r="G320" s="422"/>
      <c r="H320" s="422"/>
      <c r="I320" s="422"/>
      <c r="J320" s="422"/>
      <c r="K320" s="422"/>
      <c r="L320" s="422"/>
      <c r="M320" s="422"/>
      <c r="N320" s="422"/>
      <c r="O320" s="422"/>
      <c r="P320" s="422"/>
      <c r="Q320" s="29"/>
      <c r="R320" s="24"/>
      <c r="U320" s="29"/>
      <c r="V320" s="29"/>
    </row>
    <row r="321" spans="2:22" x14ac:dyDescent="0.2">
      <c r="B321" s="21"/>
      <c r="E321" s="422"/>
      <c r="F321" s="422"/>
      <c r="G321" s="422"/>
      <c r="H321" s="422"/>
      <c r="I321" s="422"/>
      <c r="J321" s="422"/>
      <c r="K321" s="422"/>
      <c r="L321" s="422"/>
      <c r="M321" s="422"/>
      <c r="N321" s="422"/>
      <c r="O321" s="422"/>
      <c r="P321" s="422"/>
      <c r="Q321" s="29"/>
      <c r="R321" s="24"/>
      <c r="U321" s="29"/>
      <c r="V321" s="29"/>
    </row>
    <row r="322" spans="2:22" x14ac:dyDescent="0.2">
      <c r="B322" s="21"/>
      <c r="E322" s="422"/>
      <c r="F322" s="422"/>
      <c r="G322" s="422"/>
      <c r="H322" s="422"/>
      <c r="I322" s="422"/>
      <c r="J322" s="422"/>
      <c r="K322" s="422"/>
      <c r="L322" s="422"/>
      <c r="M322" s="422"/>
      <c r="N322" s="422"/>
      <c r="O322" s="422"/>
      <c r="P322" s="422"/>
      <c r="Q322" s="29"/>
      <c r="R322" s="24"/>
      <c r="U322" s="29"/>
      <c r="V322" s="29"/>
    </row>
    <row r="323" spans="2:22" x14ac:dyDescent="0.2">
      <c r="B323" s="21"/>
      <c r="E323" s="422"/>
      <c r="F323" s="422"/>
      <c r="G323" s="422"/>
      <c r="H323" s="422"/>
      <c r="I323" s="422"/>
      <c r="J323" s="422"/>
      <c r="K323" s="422"/>
      <c r="L323" s="422"/>
      <c r="M323" s="422"/>
      <c r="N323" s="422"/>
      <c r="O323" s="422"/>
      <c r="P323" s="422"/>
      <c r="Q323" s="29"/>
      <c r="R323" s="24"/>
      <c r="U323" s="29"/>
      <c r="V323" s="29"/>
    </row>
    <row r="324" spans="2:22" x14ac:dyDescent="0.2">
      <c r="B324" s="21"/>
      <c r="E324" s="422"/>
      <c r="F324" s="422"/>
      <c r="G324" s="422"/>
      <c r="H324" s="422"/>
      <c r="I324" s="422"/>
      <c r="J324" s="422"/>
      <c r="K324" s="422"/>
      <c r="L324" s="422"/>
      <c r="M324" s="422"/>
      <c r="N324" s="422"/>
      <c r="O324" s="422"/>
      <c r="P324" s="422"/>
      <c r="Q324" s="29"/>
      <c r="R324" s="24"/>
      <c r="U324" s="29"/>
      <c r="V324" s="29"/>
    </row>
    <row r="325" spans="2:22" x14ac:dyDescent="0.2">
      <c r="B325" s="21"/>
      <c r="E325" s="422"/>
      <c r="F325" s="422"/>
      <c r="G325" s="422"/>
      <c r="H325" s="422"/>
      <c r="I325" s="422"/>
      <c r="J325" s="422"/>
      <c r="K325" s="422"/>
      <c r="L325" s="422"/>
      <c r="M325" s="422"/>
      <c r="N325" s="422"/>
      <c r="O325" s="422"/>
      <c r="P325" s="422"/>
      <c r="Q325" s="29"/>
      <c r="R325" s="24"/>
      <c r="U325" s="29"/>
      <c r="V325" s="29"/>
    </row>
    <row r="326" spans="2:22" x14ac:dyDescent="0.2">
      <c r="B326" s="21"/>
      <c r="E326" s="422"/>
      <c r="F326" s="422"/>
      <c r="G326" s="422"/>
      <c r="H326" s="422"/>
      <c r="I326" s="422"/>
      <c r="J326" s="422"/>
      <c r="K326" s="422"/>
      <c r="L326" s="422"/>
      <c r="M326" s="422"/>
      <c r="N326" s="422"/>
      <c r="O326" s="422"/>
      <c r="P326" s="422"/>
      <c r="Q326" s="29"/>
      <c r="R326" s="24"/>
      <c r="U326" s="29"/>
      <c r="V326" s="29"/>
    </row>
    <row r="327" spans="2:22" x14ac:dyDescent="0.2">
      <c r="B327" s="21"/>
      <c r="E327" s="422"/>
      <c r="F327" s="422"/>
      <c r="G327" s="422"/>
      <c r="H327" s="422"/>
      <c r="I327" s="422"/>
      <c r="J327" s="422"/>
      <c r="K327" s="422"/>
      <c r="L327" s="422"/>
      <c r="M327" s="422"/>
      <c r="N327" s="422"/>
      <c r="O327" s="422"/>
      <c r="P327" s="422"/>
      <c r="Q327" s="29"/>
      <c r="R327" s="24"/>
      <c r="U327" s="29"/>
      <c r="V327" s="29"/>
    </row>
    <row r="328" spans="2:22" x14ac:dyDescent="0.2">
      <c r="B328" s="21"/>
      <c r="E328" s="422"/>
      <c r="F328" s="422"/>
      <c r="G328" s="422"/>
      <c r="H328" s="422"/>
      <c r="I328" s="422"/>
      <c r="J328" s="422"/>
      <c r="K328" s="422"/>
      <c r="L328" s="422"/>
      <c r="M328" s="422"/>
      <c r="N328" s="422"/>
      <c r="O328" s="422"/>
      <c r="P328" s="422"/>
      <c r="Q328" s="29"/>
      <c r="R328" s="24"/>
      <c r="U328" s="29"/>
      <c r="V328" s="29"/>
    </row>
    <row r="329" spans="2:22" x14ac:dyDescent="0.2">
      <c r="B329" s="21"/>
      <c r="E329" s="422"/>
      <c r="F329" s="422"/>
      <c r="G329" s="422"/>
      <c r="H329" s="422"/>
      <c r="I329" s="422"/>
      <c r="J329" s="422"/>
      <c r="K329" s="422"/>
      <c r="L329" s="422"/>
      <c r="M329" s="422"/>
      <c r="N329" s="422"/>
      <c r="O329" s="422"/>
      <c r="P329" s="422"/>
      <c r="Q329" s="29"/>
      <c r="R329" s="24"/>
      <c r="U329" s="29"/>
      <c r="V329" s="29"/>
    </row>
    <row r="330" spans="2:22" x14ac:dyDescent="0.2">
      <c r="B330" s="21"/>
      <c r="E330" s="422"/>
      <c r="F330" s="422"/>
      <c r="G330" s="422"/>
      <c r="H330" s="422"/>
      <c r="I330" s="422"/>
      <c r="J330" s="422"/>
      <c r="K330" s="422"/>
      <c r="L330" s="422"/>
      <c r="M330" s="422"/>
      <c r="N330" s="422"/>
      <c r="O330" s="422"/>
      <c r="P330" s="422"/>
      <c r="Q330" s="29"/>
      <c r="R330" s="24"/>
      <c r="U330" s="29"/>
      <c r="V330" s="29"/>
    </row>
    <row r="331" spans="2:22" x14ac:dyDescent="0.2">
      <c r="B331" s="21"/>
      <c r="E331" s="422"/>
      <c r="F331" s="422"/>
      <c r="G331" s="422"/>
      <c r="H331" s="422"/>
      <c r="I331" s="422"/>
      <c r="J331" s="422"/>
      <c r="K331" s="422"/>
      <c r="L331" s="422"/>
      <c r="M331" s="422"/>
      <c r="N331" s="422"/>
      <c r="O331" s="422"/>
      <c r="P331" s="422"/>
      <c r="Q331" s="29"/>
      <c r="R331" s="24"/>
      <c r="U331" s="29"/>
      <c r="V331" s="29"/>
    </row>
    <row r="332" spans="2:22" x14ac:dyDescent="0.2">
      <c r="B332" s="21"/>
      <c r="E332" s="422"/>
      <c r="F332" s="422"/>
      <c r="G332" s="422"/>
      <c r="H332" s="422"/>
      <c r="I332" s="422"/>
      <c r="J332" s="422"/>
      <c r="K332" s="422"/>
      <c r="L332" s="422"/>
      <c r="M332" s="422"/>
      <c r="N332" s="422"/>
      <c r="O332" s="422"/>
      <c r="P332" s="422"/>
      <c r="Q332" s="29"/>
      <c r="R332" s="24"/>
      <c r="U332" s="29"/>
      <c r="V332" s="29"/>
    </row>
    <row r="333" spans="2:22" x14ac:dyDescent="0.2">
      <c r="B333" s="21"/>
      <c r="E333" s="422"/>
      <c r="F333" s="422"/>
      <c r="G333" s="422"/>
      <c r="H333" s="422"/>
      <c r="I333" s="422"/>
      <c r="J333" s="422"/>
      <c r="K333" s="422"/>
      <c r="L333" s="422"/>
      <c r="M333" s="422"/>
      <c r="N333" s="422"/>
      <c r="O333" s="422"/>
      <c r="P333" s="422"/>
      <c r="Q333" s="29"/>
      <c r="R333" s="24"/>
      <c r="U333" s="29"/>
      <c r="V333" s="29"/>
    </row>
    <row r="334" spans="2:22" x14ac:dyDescent="0.2">
      <c r="B334" s="21"/>
      <c r="E334" s="422"/>
      <c r="F334" s="422"/>
      <c r="G334" s="422"/>
      <c r="H334" s="422"/>
      <c r="I334" s="422"/>
      <c r="J334" s="422"/>
      <c r="K334" s="422"/>
      <c r="L334" s="422"/>
      <c r="M334" s="422"/>
      <c r="N334" s="422"/>
      <c r="O334" s="422"/>
      <c r="P334" s="422"/>
      <c r="Q334" s="29"/>
      <c r="R334" s="24"/>
      <c r="U334" s="29"/>
      <c r="V334" s="29"/>
    </row>
    <row r="335" spans="2:22" x14ac:dyDescent="0.2">
      <c r="B335" s="21"/>
      <c r="E335" s="422"/>
      <c r="F335" s="422"/>
      <c r="G335" s="422"/>
      <c r="H335" s="422"/>
      <c r="I335" s="422"/>
      <c r="J335" s="422"/>
      <c r="K335" s="422"/>
      <c r="L335" s="422"/>
      <c r="M335" s="422"/>
      <c r="N335" s="422"/>
      <c r="O335" s="422"/>
      <c r="P335" s="422"/>
      <c r="Q335" s="29"/>
      <c r="R335" s="24"/>
      <c r="U335" s="29"/>
      <c r="V335" s="29"/>
    </row>
    <row r="336" spans="2:22" x14ac:dyDescent="0.2">
      <c r="B336" s="21"/>
      <c r="E336" s="422"/>
      <c r="F336" s="422"/>
      <c r="G336" s="422"/>
      <c r="H336" s="422"/>
      <c r="I336" s="422"/>
      <c r="J336" s="422"/>
      <c r="K336" s="422"/>
      <c r="L336" s="422"/>
      <c r="M336" s="422"/>
      <c r="N336" s="422"/>
      <c r="O336" s="422"/>
      <c r="P336" s="422"/>
      <c r="Q336" s="29"/>
      <c r="R336" s="24"/>
      <c r="U336" s="29"/>
      <c r="V336" s="29"/>
    </row>
    <row r="337" spans="2:22" x14ac:dyDescent="0.2">
      <c r="B337" s="21"/>
      <c r="E337" s="422"/>
      <c r="F337" s="422"/>
      <c r="G337" s="422"/>
      <c r="H337" s="422"/>
      <c r="I337" s="422"/>
      <c r="J337" s="422"/>
      <c r="K337" s="422"/>
      <c r="L337" s="422"/>
      <c r="M337" s="422"/>
      <c r="N337" s="422"/>
      <c r="O337" s="422"/>
      <c r="P337" s="422"/>
      <c r="Q337" s="29"/>
      <c r="R337" s="24"/>
      <c r="U337" s="29"/>
      <c r="V337" s="29"/>
    </row>
    <row r="338" spans="2:22" x14ac:dyDescent="0.2">
      <c r="B338" s="21"/>
      <c r="E338" s="422"/>
      <c r="F338" s="422"/>
      <c r="G338" s="422"/>
      <c r="H338" s="422"/>
      <c r="I338" s="422"/>
      <c r="J338" s="422"/>
      <c r="K338" s="422"/>
      <c r="L338" s="422"/>
      <c r="M338" s="422"/>
      <c r="N338" s="422"/>
      <c r="O338" s="422"/>
      <c r="P338" s="422"/>
      <c r="Q338" s="29"/>
      <c r="R338" s="24"/>
      <c r="U338" s="29"/>
      <c r="V338" s="29"/>
    </row>
    <row r="339" spans="2:22" x14ac:dyDescent="0.2">
      <c r="B339" s="21"/>
      <c r="E339" s="422"/>
      <c r="F339" s="422"/>
      <c r="G339" s="422"/>
      <c r="H339" s="422"/>
      <c r="I339" s="422"/>
      <c r="J339" s="422"/>
      <c r="K339" s="422"/>
      <c r="L339" s="422"/>
      <c r="M339" s="422"/>
      <c r="N339" s="422"/>
      <c r="O339" s="422"/>
      <c r="P339" s="422"/>
      <c r="Q339" s="29"/>
      <c r="R339" s="24"/>
      <c r="U339" s="29"/>
      <c r="V339" s="29"/>
    </row>
    <row r="340" spans="2:22" x14ac:dyDescent="0.2">
      <c r="B340" s="21"/>
      <c r="E340" s="422"/>
      <c r="F340" s="422"/>
      <c r="G340" s="422"/>
      <c r="H340" s="422"/>
      <c r="I340" s="422"/>
      <c r="J340" s="422"/>
      <c r="K340" s="422"/>
      <c r="L340" s="422"/>
      <c r="M340" s="422"/>
      <c r="N340" s="422"/>
      <c r="O340" s="422"/>
      <c r="P340" s="422"/>
      <c r="Q340" s="29"/>
      <c r="R340" s="24"/>
      <c r="U340" s="29"/>
      <c r="V340" s="29"/>
    </row>
    <row r="341" spans="2:22" x14ac:dyDescent="0.2">
      <c r="B341" s="21"/>
      <c r="E341" s="422"/>
      <c r="F341" s="422"/>
      <c r="G341" s="422"/>
      <c r="H341" s="422"/>
      <c r="I341" s="422"/>
      <c r="J341" s="422"/>
      <c r="K341" s="422"/>
      <c r="L341" s="422"/>
      <c r="M341" s="422"/>
      <c r="N341" s="422"/>
      <c r="O341" s="422"/>
      <c r="P341" s="422"/>
      <c r="Q341" s="29"/>
      <c r="R341" s="24"/>
      <c r="U341" s="29"/>
      <c r="V341" s="29"/>
    </row>
    <row r="342" spans="2:22" x14ac:dyDescent="0.2">
      <c r="B342" s="21"/>
      <c r="E342" s="422"/>
      <c r="F342" s="422"/>
      <c r="G342" s="422"/>
      <c r="H342" s="422"/>
      <c r="I342" s="422"/>
      <c r="J342" s="422"/>
      <c r="K342" s="422"/>
      <c r="L342" s="422"/>
      <c r="M342" s="422"/>
      <c r="N342" s="422"/>
      <c r="O342" s="422"/>
      <c r="P342" s="422"/>
      <c r="Q342" s="29"/>
      <c r="R342" s="24"/>
      <c r="U342" s="29"/>
      <c r="V342" s="29"/>
    </row>
    <row r="343" spans="2:22" x14ac:dyDescent="0.2">
      <c r="B343" s="21"/>
      <c r="E343" s="422"/>
      <c r="F343" s="422"/>
      <c r="G343" s="422"/>
      <c r="H343" s="422"/>
      <c r="I343" s="422"/>
      <c r="J343" s="422"/>
      <c r="K343" s="422"/>
      <c r="L343" s="422"/>
      <c r="M343" s="422"/>
      <c r="N343" s="422"/>
      <c r="O343" s="422"/>
      <c r="P343" s="422"/>
      <c r="Q343" s="29"/>
      <c r="R343" s="24"/>
      <c r="U343" s="29"/>
      <c r="V343" s="29"/>
    </row>
    <row r="344" spans="2:22" x14ac:dyDescent="0.2">
      <c r="B344" s="21"/>
      <c r="E344" s="422"/>
      <c r="F344" s="422"/>
      <c r="G344" s="422"/>
      <c r="H344" s="422"/>
      <c r="I344" s="422"/>
      <c r="J344" s="422"/>
      <c r="K344" s="422"/>
      <c r="L344" s="422"/>
      <c r="M344" s="422"/>
      <c r="N344" s="422"/>
      <c r="O344" s="422"/>
      <c r="P344" s="422"/>
      <c r="Q344" s="29"/>
      <c r="R344" s="24"/>
      <c r="U344" s="29"/>
      <c r="V344" s="29"/>
    </row>
    <row r="345" spans="2:22" x14ac:dyDescent="0.2">
      <c r="B345" s="21"/>
      <c r="E345" s="422"/>
      <c r="F345" s="422"/>
      <c r="G345" s="422"/>
      <c r="H345" s="422"/>
      <c r="I345" s="422"/>
      <c r="J345" s="422"/>
      <c r="K345" s="422"/>
      <c r="L345" s="422"/>
      <c r="M345" s="422"/>
      <c r="N345" s="422"/>
      <c r="O345" s="422"/>
      <c r="P345" s="422"/>
      <c r="Q345" s="29"/>
      <c r="R345" s="24"/>
      <c r="U345" s="29"/>
      <c r="V345" s="29"/>
    </row>
    <row r="346" spans="2:22" x14ac:dyDescent="0.2">
      <c r="B346" s="21"/>
      <c r="E346" s="422"/>
      <c r="F346" s="422"/>
      <c r="G346" s="422"/>
      <c r="H346" s="422"/>
      <c r="I346" s="422"/>
      <c r="J346" s="422"/>
      <c r="K346" s="422"/>
      <c r="L346" s="422"/>
      <c r="M346" s="422"/>
      <c r="N346" s="422"/>
      <c r="O346" s="422"/>
      <c r="P346" s="422"/>
      <c r="Q346" s="29"/>
      <c r="R346" s="24"/>
      <c r="U346" s="29"/>
      <c r="V346" s="29"/>
    </row>
    <row r="347" spans="2:22" x14ac:dyDescent="0.2">
      <c r="B347" s="21"/>
      <c r="E347" s="422"/>
      <c r="F347" s="422"/>
      <c r="G347" s="422"/>
      <c r="H347" s="422"/>
      <c r="I347" s="422"/>
      <c r="J347" s="422"/>
      <c r="K347" s="422"/>
      <c r="L347" s="422"/>
      <c r="M347" s="422"/>
      <c r="N347" s="422"/>
      <c r="O347" s="422"/>
      <c r="P347" s="422"/>
      <c r="Q347" s="29"/>
      <c r="R347" s="24"/>
      <c r="U347" s="29"/>
      <c r="V347" s="29"/>
    </row>
    <row r="348" spans="2:22" x14ac:dyDescent="0.2">
      <c r="B348" s="21"/>
      <c r="E348" s="422"/>
      <c r="F348" s="422"/>
      <c r="G348" s="422"/>
      <c r="H348" s="422"/>
      <c r="I348" s="422"/>
      <c r="J348" s="422"/>
      <c r="K348" s="422"/>
      <c r="L348" s="422"/>
      <c r="M348" s="422"/>
      <c r="N348" s="422"/>
      <c r="O348" s="422"/>
      <c r="P348" s="422"/>
      <c r="Q348" s="29"/>
      <c r="R348" s="24"/>
      <c r="U348" s="29"/>
      <c r="V348" s="29"/>
    </row>
    <row r="349" spans="2:22" x14ac:dyDescent="0.2">
      <c r="B349" s="21"/>
      <c r="E349" s="422"/>
      <c r="F349" s="422"/>
      <c r="G349" s="422"/>
      <c r="H349" s="422"/>
      <c r="I349" s="422"/>
      <c r="J349" s="422"/>
      <c r="K349" s="422"/>
      <c r="L349" s="422"/>
      <c r="M349" s="422"/>
      <c r="N349" s="422"/>
      <c r="O349" s="422"/>
      <c r="P349" s="422"/>
      <c r="Q349" s="29"/>
      <c r="R349" s="24"/>
      <c r="U349" s="29"/>
      <c r="V349" s="29"/>
    </row>
    <row r="350" spans="2:22" x14ac:dyDescent="0.2">
      <c r="B350" s="21"/>
      <c r="E350" s="422"/>
      <c r="F350" s="422"/>
      <c r="G350" s="422"/>
      <c r="H350" s="422"/>
      <c r="I350" s="422"/>
      <c r="J350" s="422"/>
      <c r="K350" s="422"/>
      <c r="L350" s="422"/>
      <c r="M350" s="422"/>
      <c r="N350" s="422"/>
      <c r="O350" s="422"/>
      <c r="P350" s="422"/>
      <c r="Q350" s="29"/>
      <c r="R350" s="24"/>
      <c r="U350" s="29"/>
      <c r="V350" s="29"/>
    </row>
    <row r="351" spans="2:22" x14ac:dyDescent="0.2">
      <c r="B351" s="21"/>
      <c r="E351" s="422"/>
      <c r="F351" s="422"/>
      <c r="G351" s="422"/>
      <c r="H351" s="422"/>
      <c r="I351" s="422"/>
      <c r="J351" s="422"/>
      <c r="K351" s="422"/>
      <c r="L351" s="422"/>
      <c r="M351" s="422"/>
      <c r="N351" s="422"/>
      <c r="O351" s="422"/>
      <c r="P351" s="422"/>
      <c r="Q351" s="29"/>
      <c r="R351" s="24"/>
      <c r="U351" s="29"/>
      <c r="V351" s="29"/>
    </row>
    <row r="352" spans="2:22" x14ac:dyDescent="0.2">
      <c r="B352" s="21"/>
      <c r="E352" s="422"/>
      <c r="F352" s="422"/>
      <c r="G352" s="422"/>
      <c r="H352" s="422"/>
      <c r="I352" s="422"/>
      <c r="J352" s="422"/>
      <c r="K352" s="422"/>
      <c r="L352" s="422"/>
      <c r="M352" s="422"/>
      <c r="N352" s="422"/>
      <c r="O352" s="422"/>
      <c r="P352" s="422"/>
      <c r="Q352" s="29"/>
      <c r="R352" s="24"/>
      <c r="U352" s="29"/>
      <c r="V352" s="29"/>
    </row>
    <row r="353" spans="2:22" x14ac:dyDescent="0.2">
      <c r="B353" s="21"/>
      <c r="E353" s="422"/>
      <c r="F353" s="422"/>
      <c r="G353" s="422"/>
      <c r="H353" s="422"/>
      <c r="I353" s="422"/>
      <c r="J353" s="422"/>
      <c r="K353" s="422"/>
      <c r="L353" s="422"/>
      <c r="M353" s="422"/>
      <c r="N353" s="422"/>
      <c r="O353" s="422"/>
      <c r="P353" s="422"/>
      <c r="Q353" s="29"/>
      <c r="R353" s="24"/>
      <c r="U353" s="29"/>
      <c r="V353" s="29"/>
    </row>
    <row r="354" spans="2:22" x14ac:dyDescent="0.2">
      <c r="B354" s="21"/>
      <c r="E354" s="422"/>
      <c r="F354" s="422"/>
      <c r="G354" s="422"/>
      <c r="H354" s="422"/>
      <c r="I354" s="422"/>
      <c r="J354" s="422"/>
      <c r="K354" s="422"/>
      <c r="L354" s="422"/>
      <c r="M354" s="422"/>
      <c r="N354" s="422"/>
      <c r="O354" s="422"/>
      <c r="P354" s="422"/>
      <c r="Q354" s="29"/>
      <c r="R354" s="24"/>
      <c r="U354" s="29"/>
      <c r="V354" s="29"/>
    </row>
    <row r="355" spans="2:22" x14ac:dyDescent="0.2">
      <c r="B355" s="21"/>
      <c r="E355" s="422"/>
      <c r="F355" s="422"/>
      <c r="G355" s="422"/>
      <c r="H355" s="422"/>
      <c r="I355" s="422"/>
      <c r="J355" s="422"/>
      <c r="K355" s="422"/>
      <c r="L355" s="422"/>
      <c r="M355" s="422"/>
      <c r="N355" s="422"/>
      <c r="O355" s="422"/>
      <c r="P355" s="422"/>
      <c r="Q355" s="29"/>
      <c r="R355" s="24"/>
      <c r="U355" s="29"/>
      <c r="V355" s="29"/>
    </row>
    <row r="356" spans="2:22" x14ac:dyDescent="0.2">
      <c r="B356" s="21"/>
      <c r="E356" s="422"/>
      <c r="F356" s="422"/>
      <c r="G356" s="422"/>
      <c r="H356" s="422"/>
      <c r="I356" s="422"/>
      <c r="J356" s="422"/>
      <c r="K356" s="422"/>
      <c r="L356" s="422"/>
      <c r="M356" s="422"/>
      <c r="N356" s="422"/>
      <c r="O356" s="422"/>
      <c r="P356" s="422"/>
      <c r="Q356" s="29"/>
      <c r="R356" s="24"/>
      <c r="U356" s="29"/>
      <c r="V356" s="29"/>
    </row>
    <row r="357" spans="2:22" x14ac:dyDescent="0.2">
      <c r="B357" s="21"/>
      <c r="E357" s="422"/>
      <c r="F357" s="422"/>
      <c r="G357" s="422"/>
      <c r="H357" s="422"/>
      <c r="I357" s="422"/>
      <c r="J357" s="422"/>
      <c r="K357" s="422"/>
      <c r="L357" s="422"/>
      <c r="M357" s="422"/>
      <c r="N357" s="422"/>
      <c r="O357" s="422"/>
      <c r="P357" s="422"/>
      <c r="Q357" s="29"/>
      <c r="R357" s="24"/>
      <c r="U357" s="29"/>
      <c r="V357" s="29"/>
    </row>
    <row r="358" spans="2:22" x14ac:dyDescent="0.2">
      <c r="B358" s="21"/>
      <c r="E358" s="422"/>
      <c r="F358" s="422"/>
      <c r="G358" s="422"/>
      <c r="H358" s="422"/>
      <c r="I358" s="422"/>
      <c r="J358" s="422"/>
      <c r="K358" s="422"/>
      <c r="L358" s="422"/>
      <c r="M358" s="422"/>
      <c r="N358" s="422"/>
      <c r="O358" s="422"/>
      <c r="P358" s="422"/>
      <c r="Q358" s="29"/>
      <c r="R358" s="24"/>
      <c r="U358" s="29"/>
      <c r="V358" s="29"/>
    </row>
    <row r="359" spans="2:22" x14ac:dyDescent="0.2">
      <c r="B359" s="21"/>
      <c r="E359" s="422"/>
      <c r="F359" s="422"/>
      <c r="G359" s="422"/>
      <c r="H359" s="422"/>
      <c r="I359" s="422"/>
      <c r="J359" s="422"/>
      <c r="K359" s="422"/>
      <c r="L359" s="422"/>
      <c r="M359" s="422"/>
      <c r="N359" s="422"/>
      <c r="O359" s="422"/>
      <c r="P359" s="422"/>
      <c r="Q359" s="29"/>
      <c r="R359" s="24"/>
      <c r="U359" s="29"/>
      <c r="V359" s="29"/>
    </row>
    <row r="360" spans="2:22" x14ac:dyDescent="0.2">
      <c r="B360" s="21"/>
      <c r="E360" s="422"/>
      <c r="F360" s="422"/>
      <c r="G360" s="422"/>
      <c r="H360" s="422"/>
      <c r="I360" s="422"/>
      <c r="J360" s="422"/>
      <c r="K360" s="422"/>
      <c r="L360" s="422"/>
      <c r="M360" s="422"/>
      <c r="N360" s="422"/>
      <c r="O360" s="422"/>
      <c r="P360" s="422"/>
      <c r="Q360" s="29"/>
      <c r="R360" s="24"/>
      <c r="U360" s="29"/>
      <c r="V360" s="29"/>
    </row>
    <row r="361" spans="2:22" x14ac:dyDescent="0.2">
      <c r="B361" s="21"/>
      <c r="E361" s="422"/>
      <c r="F361" s="422"/>
      <c r="G361" s="422"/>
      <c r="H361" s="422"/>
      <c r="I361" s="422"/>
      <c r="J361" s="422"/>
      <c r="K361" s="422"/>
      <c r="L361" s="422"/>
      <c r="M361" s="422"/>
      <c r="N361" s="422"/>
      <c r="O361" s="422"/>
      <c r="P361" s="422"/>
      <c r="Q361" s="29"/>
      <c r="R361" s="24"/>
      <c r="U361" s="29"/>
      <c r="V361" s="29"/>
    </row>
    <row r="362" spans="2:22" x14ac:dyDescent="0.2">
      <c r="B362" s="21"/>
      <c r="E362" s="422"/>
      <c r="F362" s="422"/>
      <c r="G362" s="422"/>
      <c r="H362" s="422"/>
      <c r="I362" s="422"/>
      <c r="J362" s="422"/>
      <c r="K362" s="422"/>
      <c r="L362" s="422"/>
      <c r="M362" s="422"/>
      <c r="N362" s="422"/>
      <c r="O362" s="422"/>
      <c r="P362" s="422"/>
      <c r="Q362" s="29"/>
      <c r="R362" s="24"/>
      <c r="U362" s="29"/>
      <c r="V362" s="29"/>
    </row>
    <row r="363" spans="2:22" x14ac:dyDescent="0.2">
      <c r="B363" s="21"/>
      <c r="E363" s="422"/>
      <c r="F363" s="422"/>
      <c r="G363" s="422"/>
      <c r="H363" s="422"/>
      <c r="I363" s="422"/>
      <c r="J363" s="422"/>
      <c r="K363" s="422"/>
      <c r="L363" s="422"/>
      <c r="M363" s="422"/>
      <c r="N363" s="422"/>
      <c r="O363" s="422"/>
      <c r="P363" s="422"/>
      <c r="Q363" s="29"/>
      <c r="R363" s="24"/>
      <c r="U363" s="29"/>
      <c r="V363" s="29"/>
    </row>
    <row r="364" spans="2:22" x14ac:dyDescent="0.2">
      <c r="B364" s="21"/>
      <c r="E364" s="422"/>
      <c r="F364" s="422"/>
      <c r="G364" s="422"/>
      <c r="H364" s="422"/>
      <c r="I364" s="422"/>
      <c r="J364" s="422"/>
      <c r="K364" s="422"/>
      <c r="L364" s="422"/>
      <c r="M364" s="422"/>
      <c r="N364" s="422"/>
      <c r="O364" s="422"/>
      <c r="P364" s="422"/>
      <c r="Q364" s="29"/>
      <c r="R364" s="24"/>
      <c r="U364" s="29"/>
      <c r="V364" s="29"/>
    </row>
    <row r="365" spans="2:22" x14ac:dyDescent="0.2">
      <c r="B365" s="21"/>
      <c r="E365" s="422"/>
      <c r="F365" s="422"/>
      <c r="G365" s="422"/>
      <c r="H365" s="422"/>
      <c r="I365" s="422"/>
      <c r="J365" s="422"/>
      <c r="K365" s="422"/>
      <c r="L365" s="422"/>
      <c r="M365" s="422"/>
      <c r="N365" s="422"/>
      <c r="O365" s="422"/>
      <c r="P365" s="422"/>
      <c r="Q365" s="29"/>
      <c r="R365" s="24"/>
      <c r="U365" s="29"/>
      <c r="V365" s="29"/>
    </row>
    <row r="366" spans="2:22" x14ac:dyDescent="0.2">
      <c r="B366" s="21"/>
      <c r="E366" s="422"/>
      <c r="F366" s="422"/>
      <c r="G366" s="422"/>
      <c r="H366" s="422"/>
      <c r="I366" s="422"/>
      <c r="J366" s="422"/>
      <c r="K366" s="422"/>
      <c r="L366" s="422"/>
      <c r="M366" s="422"/>
      <c r="N366" s="422"/>
      <c r="O366" s="422"/>
      <c r="P366" s="422"/>
      <c r="Q366" s="29"/>
      <c r="R366" s="24"/>
      <c r="U366" s="29"/>
      <c r="V366" s="29"/>
    </row>
    <row r="367" spans="2:22" x14ac:dyDescent="0.2">
      <c r="B367" s="21"/>
      <c r="E367" s="422"/>
      <c r="F367" s="422"/>
      <c r="G367" s="422"/>
      <c r="H367" s="422"/>
      <c r="I367" s="422"/>
      <c r="J367" s="422"/>
      <c r="K367" s="422"/>
      <c r="L367" s="422"/>
      <c r="M367" s="422"/>
      <c r="N367" s="422"/>
      <c r="O367" s="422"/>
      <c r="P367" s="422"/>
      <c r="Q367" s="29"/>
      <c r="R367" s="24"/>
      <c r="U367" s="29"/>
      <c r="V367" s="29"/>
    </row>
    <row r="368" spans="2:22" x14ac:dyDescent="0.2">
      <c r="B368" s="21"/>
      <c r="E368" s="422"/>
      <c r="F368" s="422"/>
      <c r="G368" s="422"/>
      <c r="H368" s="422"/>
      <c r="I368" s="422"/>
      <c r="J368" s="422"/>
      <c r="K368" s="422"/>
      <c r="L368" s="422"/>
      <c r="M368" s="422"/>
      <c r="N368" s="422"/>
      <c r="O368" s="422"/>
      <c r="P368" s="422"/>
      <c r="Q368" s="29"/>
      <c r="R368" s="24"/>
      <c r="U368" s="29"/>
      <c r="V368" s="29"/>
    </row>
    <row r="369" spans="2:22" x14ac:dyDescent="0.2">
      <c r="B369" s="21"/>
      <c r="E369" s="422"/>
      <c r="F369" s="422"/>
      <c r="G369" s="422"/>
      <c r="H369" s="422"/>
      <c r="I369" s="422"/>
      <c r="J369" s="422"/>
      <c r="K369" s="422"/>
      <c r="L369" s="422"/>
      <c r="M369" s="422"/>
      <c r="N369" s="422"/>
      <c r="O369" s="422"/>
      <c r="P369" s="422"/>
      <c r="Q369" s="29"/>
      <c r="R369" s="24"/>
      <c r="U369" s="29"/>
      <c r="V369" s="29"/>
    </row>
    <row r="370" spans="2:22" x14ac:dyDescent="0.2">
      <c r="B370" s="21"/>
      <c r="E370" s="422"/>
      <c r="F370" s="422"/>
      <c r="G370" s="422"/>
      <c r="H370" s="422"/>
      <c r="I370" s="422"/>
      <c r="J370" s="422"/>
      <c r="K370" s="422"/>
      <c r="L370" s="422"/>
      <c r="M370" s="422"/>
      <c r="N370" s="422"/>
      <c r="O370" s="422"/>
      <c r="P370" s="422"/>
      <c r="Q370" s="29"/>
      <c r="R370" s="24"/>
      <c r="U370" s="29"/>
      <c r="V370" s="29"/>
    </row>
    <row r="371" spans="2:22" x14ac:dyDescent="0.2">
      <c r="B371" s="21"/>
      <c r="E371" s="422"/>
      <c r="F371" s="422"/>
      <c r="G371" s="422"/>
      <c r="H371" s="422"/>
      <c r="I371" s="422"/>
      <c r="J371" s="422"/>
      <c r="K371" s="422"/>
      <c r="L371" s="422"/>
      <c r="M371" s="422"/>
      <c r="N371" s="422"/>
      <c r="O371" s="422"/>
      <c r="P371" s="422"/>
      <c r="Q371" s="29"/>
      <c r="R371" s="24"/>
      <c r="U371" s="29"/>
      <c r="V371" s="29"/>
    </row>
    <row r="372" spans="2:22" x14ac:dyDescent="0.2">
      <c r="B372" s="21"/>
      <c r="E372" s="422"/>
      <c r="F372" s="422"/>
      <c r="G372" s="422"/>
      <c r="H372" s="422"/>
      <c r="I372" s="422"/>
      <c r="J372" s="422"/>
      <c r="K372" s="422"/>
      <c r="L372" s="422"/>
      <c r="M372" s="422"/>
      <c r="N372" s="422"/>
      <c r="O372" s="422"/>
      <c r="P372" s="422"/>
      <c r="Q372" s="29"/>
      <c r="R372" s="24"/>
      <c r="U372" s="29"/>
      <c r="V372" s="29"/>
    </row>
    <row r="373" spans="2:22" x14ac:dyDescent="0.2">
      <c r="B373" s="21"/>
      <c r="E373" s="422"/>
      <c r="F373" s="422"/>
      <c r="G373" s="422"/>
      <c r="H373" s="422"/>
      <c r="I373" s="422"/>
      <c r="J373" s="422"/>
      <c r="K373" s="422"/>
      <c r="L373" s="422"/>
      <c r="M373" s="422"/>
      <c r="N373" s="422"/>
      <c r="O373" s="422"/>
      <c r="P373" s="422"/>
      <c r="Q373" s="29"/>
      <c r="R373" s="24"/>
      <c r="U373" s="29"/>
      <c r="V373" s="29"/>
    </row>
    <row r="374" spans="2:22" x14ac:dyDescent="0.2">
      <c r="B374" s="21"/>
      <c r="E374" s="422"/>
      <c r="F374" s="422"/>
      <c r="G374" s="422"/>
      <c r="H374" s="422"/>
      <c r="I374" s="422"/>
      <c r="J374" s="422"/>
      <c r="K374" s="422"/>
      <c r="L374" s="422"/>
      <c r="M374" s="422"/>
      <c r="N374" s="422"/>
      <c r="O374" s="422"/>
      <c r="P374" s="422"/>
      <c r="Q374" s="29"/>
      <c r="R374" s="24"/>
      <c r="U374" s="29"/>
      <c r="V374" s="29"/>
    </row>
    <row r="375" spans="2:22" x14ac:dyDescent="0.2">
      <c r="B375" s="21"/>
      <c r="E375" s="422"/>
      <c r="F375" s="422"/>
      <c r="G375" s="422"/>
      <c r="H375" s="422"/>
      <c r="I375" s="422"/>
      <c r="J375" s="422"/>
      <c r="K375" s="422"/>
      <c r="L375" s="422"/>
      <c r="M375" s="422"/>
      <c r="N375" s="422"/>
      <c r="O375" s="422"/>
      <c r="P375" s="422"/>
      <c r="Q375" s="29"/>
      <c r="R375" s="24"/>
      <c r="U375" s="29"/>
      <c r="V375" s="29"/>
    </row>
    <row r="376" spans="2:22" x14ac:dyDescent="0.2">
      <c r="B376" s="21"/>
      <c r="E376" s="422"/>
      <c r="F376" s="422"/>
      <c r="G376" s="422"/>
      <c r="H376" s="422"/>
      <c r="I376" s="422"/>
      <c r="J376" s="422"/>
      <c r="K376" s="422"/>
      <c r="L376" s="422"/>
      <c r="M376" s="422"/>
      <c r="N376" s="422"/>
      <c r="O376" s="422"/>
      <c r="P376" s="422"/>
      <c r="Q376" s="29"/>
      <c r="R376" s="24"/>
      <c r="U376" s="29"/>
      <c r="V376" s="29"/>
    </row>
    <row r="377" spans="2:22" x14ac:dyDescent="0.2">
      <c r="B377" s="21"/>
      <c r="E377" s="422"/>
      <c r="F377" s="422"/>
      <c r="G377" s="422"/>
      <c r="H377" s="422"/>
      <c r="I377" s="422"/>
      <c r="J377" s="422"/>
      <c r="K377" s="422"/>
      <c r="L377" s="422"/>
      <c r="M377" s="422"/>
      <c r="N377" s="422"/>
      <c r="O377" s="422"/>
      <c r="P377" s="422"/>
      <c r="Q377" s="29"/>
      <c r="R377" s="24"/>
      <c r="U377" s="29"/>
      <c r="V377" s="29"/>
    </row>
    <row r="378" spans="2:22" x14ac:dyDescent="0.2">
      <c r="B378" s="21"/>
      <c r="E378" s="422"/>
      <c r="F378" s="422"/>
      <c r="G378" s="422"/>
      <c r="H378" s="422"/>
      <c r="I378" s="422"/>
      <c r="J378" s="422"/>
      <c r="K378" s="422"/>
      <c r="L378" s="422"/>
      <c r="M378" s="422"/>
      <c r="N378" s="422"/>
      <c r="O378" s="422"/>
      <c r="P378" s="422"/>
      <c r="Q378" s="29"/>
      <c r="R378" s="24"/>
      <c r="U378" s="29"/>
      <c r="V378" s="29"/>
    </row>
    <row r="379" spans="2:22" x14ac:dyDescent="0.2">
      <c r="B379" s="21"/>
      <c r="E379" s="422"/>
      <c r="F379" s="422"/>
      <c r="G379" s="422"/>
      <c r="H379" s="422"/>
      <c r="I379" s="422"/>
      <c r="J379" s="422"/>
      <c r="K379" s="422"/>
      <c r="L379" s="422"/>
      <c r="M379" s="422"/>
      <c r="N379" s="422"/>
      <c r="O379" s="422"/>
      <c r="P379" s="422"/>
      <c r="Q379" s="29"/>
      <c r="R379" s="24"/>
      <c r="U379" s="29"/>
      <c r="V379" s="29"/>
    </row>
    <row r="380" spans="2:22" x14ac:dyDescent="0.2">
      <c r="B380" s="21"/>
      <c r="E380" s="422"/>
      <c r="F380" s="422"/>
      <c r="G380" s="422"/>
      <c r="H380" s="422"/>
      <c r="I380" s="422"/>
      <c r="J380" s="422"/>
      <c r="K380" s="422"/>
      <c r="L380" s="422"/>
      <c r="M380" s="422"/>
      <c r="N380" s="422"/>
      <c r="O380" s="422"/>
      <c r="P380" s="422"/>
      <c r="Q380" s="29"/>
      <c r="R380" s="24"/>
      <c r="U380" s="29"/>
      <c r="V380" s="29"/>
    </row>
    <row r="381" spans="2:22" x14ac:dyDescent="0.2">
      <c r="B381" s="21"/>
      <c r="E381" s="422"/>
      <c r="F381" s="422"/>
      <c r="G381" s="422"/>
      <c r="H381" s="422"/>
      <c r="I381" s="422"/>
      <c r="J381" s="422"/>
      <c r="K381" s="422"/>
      <c r="L381" s="422"/>
      <c r="M381" s="422"/>
      <c r="N381" s="422"/>
      <c r="O381" s="422"/>
      <c r="P381" s="422"/>
      <c r="Q381" s="29"/>
      <c r="R381" s="24"/>
      <c r="U381" s="29"/>
      <c r="V381" s="29"/>
    </row>
    <row r="382" spans="2:22" x14ac:dyDescent="0.2">
      <c r="B382" s="21"/>
      <c r="E382" s="422"/>
      <c r="F382" s="422"/>
      <c r="G382" s="422"/>
      <c r="H382" s="422"/>
      <c r="I382" s="422"/>
      <c r="J382" s="422"/>
      <c r="K382" s="422"/>
      <c r="L382" s="422"/>
      <c r="M382" s="422"/>
      <c r="N382" s="422"/>
      <c r="O382" s="422"/>
      <c r="P382" s="422"/>
      <c r="Q382" s="29"/>
      <c r="R382" s="24"/>
      <c r="U382" s="29"/>
      <c r="V382" s="29"/>
    </row>
    <row r="383" spans="2:22" x14ac:dyDescent="0.2">
      <c r="B383" s="21"/>
      <c r="E383" s="422"/>
      <c r="F383" s="422"/>
      <c r="G383" s="422"/>
      <c r="H383" s="422"/>
      <c r="I383" s="422"/>
      <c r="J383" s="422"/>
      <c r="K383" s="422"/>
      <c r="L383" s="422"/>
      <c r="M383" s="422"/>
      <c r="N383" s="422"/>
      <c r="O383" s="422"/>
      <c r="P383" s="422"/>
      <c r="Q383" s="29"/>
      <c r="R383" s="24"/>
      <c r="U383" s="29"/>
      <c r="V383" s="29"/>
    </row>
    <row r="384" spans="2:22" x14ac:dyDescent="0.2">
      <c r="B384" s="21"/>
      <c r="E384" s="422"/>
      <c r="F384" s="422"/>
      <c r="G384" s="422"/>
      <c r="H384" s="422"/>
      <c r="I384" s="422"/>
      <c r="J384" s="422"/>
      <c r="K384" s="422"/>
      <c r="L384" s="422"/>
      <c r="M384" s="422"/>
      <c r="N384" s="422"/>
      <c r="O384" s="422"/>
      <c r="P384" s="422"/>
      <c r="Q384" s="29"/>
      <c r="R384" s="24"/>
      <c r="U384" s="29"/>
      <c r="V384" s="29"/>
    </row>
    <row r="385" spans="2:22" x14ac:dyDescent="0.2">
      <c r="B385" s="21"/>
      <c r="E385" s="422"/>
      <c r="F385" s="422"/>
      <c r="G385" s="422"/>
      <c r="H385" s="422"/>
      <c r="I385" s="422"/>
      <c r="J385" s="422"/>
      <c r="K385" s="422"/>
      <c r="L385" s="422"/>
      <c r="M385" s="422"/>
      <c r="N385" s="422"/>
      <c r="O385" s="422"/>
      <c r="P385" s="422"/>
      <c r="Q385" s="29"/>
      <c r="R385" s="24"/>
      <c r="U385" s="29"/>
      <c r="V385" s="29"/>
    </row>
    <row r="386" spans="2:22" x14ac:dyDescent="0.2">
      <c r="B386" s="21"/>
      <c r="E386" s="422"/>
      <c r="F386" s="422"/>
      <c r="G386" s="422"/>
      <c r="H386" s="422"/>
      <c r="I386" s="422"/>
      <c r="J386" s="422"/>
      <c r="K386" s="422"/>
      <c r="L386" s="422"/>
      <c r="M386" s="422"/>
      <c r="N386" s="422"/>
      <c r="O386" s="422"/>
      <c r="P386" s="422"/>
      <c r="Q386" s="29"/>
      <c r="R386" s="24"/>
      <c r="U386" s="29"/>
      <c r="V386" s="29"/>
    </row>
    <row r="387" spans="2:22" x14ac:dyDescent="0.2">
      <c r="B387" s="21"/>
      <c r="E387" s="422"/>
      <c r="F387" s="422"/>
      <c r="G387" s="422"/>
      <c r="H387" s="422"/>
      <c r="I387" s="422"/>
      <c r="J387" s="422"/>
      <c r="K387" s="422"/>
      <c r="L387" s="422"/>
      <c r="M387" s="422"/>
      <c r="N387" s="422"/>
      <c r="O387" s="422"/>
      <c r="P387" s="422"/>
      <c r="Q387" s="29"/>
      <c r="R387" s="24"/>
      <c r="U387" s="29"/>
      <c r="V387" s="29"/>
    </row>
    <row r="388" spans="2:22" x14ac:dyDescent="0.2">
      <c r="B388" s="21"/>
      <c r="E388" s="422"/>
      <c r="F388" s="422"/>
      <c r="G388" s="422"/>
      <c r="H388" s="422"/>
      <c r="I388" s="422"/>
      <c r="J388" s="422"/>
      <c r="K388" s="422"/>
      <c r="L388" s="422"/>
      <c r="M388" s="422"/>
      <c r="N388" s="422"/>
      <c r="O388" s="422"/>
      <c r="P388" s="422"/>
      <c r="Q388" s="29"/>
      <c r="R388" s="24"/>
      <c r="U388" s="29"/>
      <c r="V388" s="29"/>
    </row>
    <row r="389" spans="2:22" x14ac:dyDescent="0.2">
      <c r="B389" s="21"/>
      <c r="E389" s="422"/>
      <c r="F389" s="422"/>
      <c r="G389" s="422"/>
      <c r="H389" s="422"/>
      <c r="I389" s="422"/>
      <c r="J389" s="422"/>
      <c r="K389" s="422"/>
      <c r="L389" s="422"/>
      <c r="M389" s="422"/>
      <c r="N389" s="422"/>
      <c r="O389" s="422"/>
      <c r="P389" s="422"/>
      <c r="Q389" s="29"/>
      <c r="R389" s="24"/>
      <c r="U389" s="29"/>
      <c r="V389" s="29"/>
    </row>
    <row r="390" spans="2:22" x14ac:dyDescent="0.2">
      <c r="B390" s="21"/>
      <c r="E390" s="422"/>
      <c r="F390" s="422"/>
      <c r="G390" s="422"/>
      <c r="H390" s="422"/>
      <c r="I390" s="422"/>
      <c r="J390" s="422"/>
      <c r="K390" s="422"/>
      <c r="L390" s="422"/>
      <c r="M390" s="422"/>
      <c r="N390" s="422"/>
      <c r="O390" s="422"/>
      <c r="P390" s="422"/>
      <c r="Q390" s="29"/>
      <c r="R390" s="24"/>
      <c r="U390" s="29"/>
      <c r="V390" s="29"/>
    </row>
    <row r="391" spans="2:22" x14ac:dyDescent="0.2">
      <c r="B391" s="21"/>
      <c r="E391" s="422"/>
      <c r="F391" s="422"/>
      <c r="G391" s="422"/>
      <c r="H391" s="422"/>
      <c r="I391" s="422"/>
      <c r="J391" s="422"/>
      <c r="K391" s="422"/>
      <c r="L391" s="422"/>
      <c r="M391" s="422"/>
      <c r="N391" s="422"/>
      <c r="O391" s="422"/>
      <c r="P391" s="422"/>
      <c r="Q391" s="29"/>
      <c r="R391" s="24"/>
      <c r="U391" s="29"/>
      <c r="V391" s="29"/>
    </row>
    <row r="392" spans="2:22" x14ac:dyDescent="0.2">
      <c r="B392" s="21"/>
      <c r="E392" s="422"/>
      <c r="F392" s="422"/>
      <c r="G392" s="422"/>
      <c r="H392" s="422"/>
      <c r="I392" s="422"/>
      <c r="J392" s="422"/>
      <c r="K392" s="422"/>
      <c r="L392" s="422"/>
      <c r="M392" s="422"/>
      <c r="N392" s="422"/>
      <c r="O392" s="422"/>
      <c r="P392" s="422"/>
      <c r="Q392" s="29"/>
      <c r="R392" s="24"/>
      <c r="U392" s="29"/>
      <c r="V392" s="29"/>
    </row>
    <row r="393" spans="2:22" x14ac:dyDescent="0.2">
      <c r="B393" s="21"/>
      <c r="E393" s="422"/>
      <c r="F393" s="422"/>
      <c r="G393" s="422"/>
      <c r="H393" s="422"/>
      <c r="I393" s="422"/>
      <c r="J393" s="422"/>
      <c r="K393" s="422"/>
      <c r="L393" s="422"/>
      <c r="M393" s="422"/>
      <c r="N393" s="422"/>
      <c r="O393" s="422"/>
      <c r="P393" s="422"/>
      <c r="Q393" s="29"/>
      <c r="R393" s="24"/>
      <c r="U393" s="29"/>
      <c r="V393" s="29"/>
    </row>
    <row r="394" spans="2:22" x14ac:dyDescent="0.2">
      <c r="B394" s="21"/>
      <c r="E394" s="422"/>
      <c r="F394" s="422"/>
      <c r="G394" s="422"/>
      <c r="H394" s="422"/>
      <c r="I394" s="422"/>
      <c r="J394" s="422"/>
      <c r="K394" s="422"/>
      <c r="L394" s="422"/>
      <c r="M394" s="422"/>
      <c r="N394" s="422"/>
      <c r="O394" s="422"/>
      <c r="P394" s="422"/>
      <c r="Q394" s="29"/>
      <c r="R394" s="24"/>
      <c r="U394" s="29"/>
      <c r="V394" s="29"/>
    </row>
    <row r="395" spans="2:22" x14ac:dyDescent="0.2">
      <c r="B395" s="21"/>
      <c r="E395" s="422"/>
      <c r="F395" s="422"/>
      <c r="G395" s="422"/>
      <c r="H395" s="422"/>
      <c r="I395" s="422"/>
      <c r="J395" s="422"/>
      <c r="K395" s="422"/>
      <c r="L395" s="422"/>
      <c r="M395" s="422"/>
      <c r="N395" s="422"/>
      <c r="O395" s="422"/>
      <c r="P395" s="422"/>
      <c r="Q395" s="29"/>
      <c r="R395" s="24"/>
      <c r="U395" s="29"/>
      <c r="V395" s="29"/>
    </row>
    <row r="396" spans="2:22" x14ac:dyDescent="0.2">
      <c r="B396" s="21"/>
      <c r="E396" s="422"/>
      <c r="F396" s="422"/>
      <c r="G396" s="422"/>
      <c r="H396" s="422"/>
      <c r="I396" s="422"/>
      <c r="J396" s="422"/>
      <c r="K396" s="422"/>
      <c r="L396" s="422"/>
      <c r="M396" s="422"/>
      <c r="N396" s="422"/>
      <c r="O396" s="422"/>
      <c r="P396" s="422"/>
      <c r="Q396" s="29"/>
      <c r="R396" s="24"/>
      <c r="U396" s="29"/>
      <c r="V396" s="29"/>
    </row>
    <row r="397" spans="2:22" x14ac:dyDescent="0.2">
      <c r="B397" s="21"/>
      <c r="E397" s="422"/>
      <c r="F397" s="422"/>
      <c r="G397" s="422"/>
      <c r="H397" s="422"/>
      <c r="I397" s="422"/>
      <c r="J397" s="422"/>
      <c r="K397" s="422"/>
      <c r="L397" s="422"/>
      <c r="M397" s="422"/>
      <c r="N397" s="422"/>
      <c r="O397" s="422"/>
      <c r="P397" s="422"/>
      <c r="Q397" s="29"/>
      <c r="R397" s="24"/>
      <c r="U397" s="29"/>
      <c r="V397" s="29"/>
    </row>
    <row r="398" spans="2:22" x14ac:dyDescent="0.2">
      <c r="B398" s="21"/>
      <c r="E398" s="422"/>
      <c r="F398" s="422"/>
      <c r="G398" s="422"/>
      <c r="H398" s="422"/>
      <c r="I398" s="422"/>
      <c r="J398" s="422"/>
      <c r="K398" s="422"/>
      <c r="L398" s="422"/>
      <c r="M398" s="422"/>
      <c r="N398" s="422"/>
      <c r="O398" s="422"/>
      <c r="P398" s="422"/>
      <c r="Q398" s="29"/>
      <c r="R398" s="24"/>
      <c r="U398" s="29"/>
      <c r="V398" s="29"/>
    </row>
    <row r="399" spans="2:22" x14ac:dyDescent="0.2">
      <c r="B399" s="21"/>
      <c r="E399" s="422"/>
      <c r="F399" s="422"/>
      <c r="G399" s="422"/>
      <c r="H399" s="422"/>
      <c r="I399" s="422"/>
      <c r="J399" s="422"/>
      <c r="K399" s="422"/>
      <c r="L399" s="422"/>
      <c r="M399" s="422"/>
      <c r="N399" s="422"/>
      <c r="O399" s="422"/>
      <c r="P399" s="422"/>
      <c r="Q399" s="29"/>
      <c r="R399" s="24"/>
      <c r="U399" s="29"/>
      <c r="V399" s="29"/>
    </row>
    <row r="400" spans="2:22" x14ac:dyDescent="0.2">
      <c r="B400" s="21"/>
      <c r="E400" s="422"/>
      <c r="F400" s="422"/>
      <c r="G400" s="422"/>
      <c r="H400" s="422"/>
      <c r="I400" s="422"/>
      <c r="J400" s="422"/>
      <c r="K400" s="422"/>
      <c r="L400" s="422"/>
      <c r="M400" s="422"/>
      <c r="N400" s="422"/>
      <c r="O400" s="422"/>
      <c r="P400" s="422"/>
      <c r="Q400" s="29"/>
      <c r="R400" s="24"/>
      <c r="U400" s="29"/>
      <c r="V400" s="29"/>
    </row>
    <row r="401" spans="2:22" x14ac:dyDescent="0.2">
      <c r="B401" s="21"/>
      <c r="E401" s="422"/>
      <c r="F401" s="422"/>
      <c r="G401" s="422"/>
      <c r="H401" s="422"/>
      <c r="I401" s="422"/>
      <c r="J401" s="422"/>
      <c r="K401" s="422"/>
      <c r="L401" s="422"/>
      <c r="M401" s="422"/>
      <c r="N401" s="422"/>
      <c r="O401" s="422"/>
      <c r="P401" s="422"/>
      <c r="Q401" s="29"/>
      <c r="R401" s="24"/>
      <c r="U401" s="29"/>
      <c r="V401" s="29"/>
    </row>
    <row r="402" spans="2:22" x14ac:dyDescent="0.2">
      <c r="B402" s="21"/>
      <c r="E402" s="422"/>
      <c r="F402" s="422"/>
      <c r="G402" s="422"/>
      <c r="H402" s="422"/>
      <c r="I402" s="422"/>
      <c r="J402" s="422"/>
      <c r="K402" s="422"/>
      <c r="L402" s="422"/>
      <c r="M402" s="422"/>
      <c r="N402" s="422"/>
      <c r="O402" s="422"/>
      <c r="P402" s="422"/>
      <c r="Q402" s="29"/>
      <c r="R402" s="24"/>
      <c r="U402" s="29"/>
      <c r="V402" s="29"/>
    </row>
    <row r="403" spans="2:22" x14ac:dyDescent="0.2">
      <c r="B403" s="21"/>
      <c r="E403" s="422"/>
      <c r="F403" s="422"/>
      <c r="G403" s="422"/>
      <c r="H403" s="422"/>
      <c r="I403" s="422"/>
      <c r="J403" s="422"/>
      <c r="K403" s="422"/>
      <c r="L403" s="422"/>
      <c r="M403" s="422"/>
      <c r="N403" s="422"/>
      <c r="O403" s="422"/>
      <c r="P403" s="422"/>
      <c r="Q403" s="29"/>
      <c r="R403" s="24"/>
      <c r="U403" s="29"/>
      <c r="V403" s="29"/>
    </row>
    <row r="404" spans="2:22" x14ac:dyDescent="0.2">
      <c r="B404" s="21"/>
      <c r="E404" s="422"/>
      <c r="F404" s="422"/>
      <c r="G404" s="422"/>
      <c r="H404" s="422"/>
      <c r="I404" s="422"/>
      <c r="J404" s="422"/>
      <c r="K404" s="422"/>
      <c r="L404" s="422"/>
      <c r="M404" s="422"/>
      <c r="N404" s="422"/>
      <c r="O404" s="422"/>
      <c r="P404" s="422"/>
      <c r="Q404" s="29"/>
      <c r="R404" s="24"/>
      <c r="U404" s="29"/>
      <c r="V404" s="29"/>
    </row>
    <row r="405" spans="2:22" x14ac:dyDescent="0.2">
      <c r="B405" s="21"/>
      <c r="E405" s="422"/>
      <c r="F405" s="422"/>
      <c r="G405" s="422"/>
      <c r="H405" s="422"/>
      <c r="I405" s="422"/>
      <c r="J405" s="422"/>
      <c r="K405" s="422"/>
      <c r="L405" s="422"/>
      <c r="M405" s="422"/>
      <c r="N405" s="422"/>
      <c r="O405" s="422"/>
      <c r="P405" s="422"/>
      <c r="Q405" s="29"/>
      <c r="R405" s="24"/>
      <c r="U405" s="29"/>
      <c r="V405" s="29"/>
    </row>
    <row r="406" spans="2:22" x14ac:dyDescent="0.2">
      <c r="B406" s="21"/>
      <c r="E406" s="422"/>
      <c r="F406" s="422"/>
      <c r="G406" s="422"/>
      <c r="H406" s="422"/>
      <c r="I406" s="422"/>
      <c r="J406" s="422"/>
      <c r="K406" s="422"/>
      <c r="L406" s="422"/>
      <c r="M406" s="422"/>
      <c r="N406" s="422"/>
      <c r="O406" s="422"/>
      <c r="P406" s="422"/>
      <c r="Q406" s="29"/>
      <c r="R406" s="24"/>
      <c r="U406" s="29"/>
      <c r="V406" s="29"/>
    </row>
    <row r="407" spans="2:22" x14ac:dyDescent="0.2">
      <c r="B407" s="21"/>
      <c r="E407" s="422"/>
      <c r="F407" s="422"/>
      <c r="G407" s="422"/>
      <c r="H407" s="422"/>
      <c r="I407" s="422"/>
      <c r="J407" s="422"/>
      <c r="K407" s="422"/>
      <c r="L407" s="422"/>
      <c r="M407" s="422"/>
      <c r="N407" s="422"/>
      <c r="O407" s="422"/>
      <c r="P407" s="422"/>
      <c r="Q407" s="29"/>
      <c r="R407" s="24"/>
      <c r="U407" s="29"/>
      <c r="V407" s="29"/>
    </row>
    <row r="408" spans="2:22" x14ac:dyDescent="0.2">
      <c r="B408" s="21"/>
      <c r="E408" s="422"/>
      <c r="F408" s="422"/>
      <c r="G408" s="422"/>
      <c r="H408" s="422"/>
      <c r="I408" s="422"/>
      <c r="J408" s="422"/>
      <c r="K408" s="422"/>
      <c r="L408" s="422"/>
      <c r="M408" s="422"/>
      <c r="N408" s="422"/>
      <c r="O408" s="422"/>
      <c r="P408" s="422"/>
      <c r="Q408" s="29"/>
      <c r="R408" s="24"/>
      <c r="U408" s="29"/>
      <c r="V408" s="29"/>
    </row>
    <row r="409" spans="2:22" x14ac:dyDescent="0.2">
      <c r="B409" s="21"/>
      <c r="E409" s="422"/>
      <c r="F409" s="422"/>
      <c r="G409" s="422"/>
      <c r="H409" s="422"/>
      <c r="I409" s="422"/>
      <c r="J409" s="422"/>
      <c r="K409" s="422"/>
      <c r="L409" s="422"/>
      <c r="M409" s="422"/>
      <c r="N409" s="422"/>
      <c r="O409" s="422"/>
      <c r="P409" s="422"/>
      <c r="Q409" s="29"/>
      <c r="R409" s="24"/>
      <c r="U409" s="29"/>
      <c r="V409" s="29"/>
    </row>
    <row r="410" spans="2:22" x14ac:dyDescent="0.2">
      <c r="B410" s="21"/>
      <c r="E410" s="422"/>
      <c r="F410" s="422"/>
      <c r="G410" s="422"/>
      <c r="H410" s="422"/>
      <c r="I410" s="422"/>
      <c r="J410" s="422"/>
      <c r="K410" s="422"/>
      <c r="L410" s="422"/>
      <c r="M410" s="422"/>
      <c r="N410" s="422"/>
      <c r="O410" s="422"/>
      <c r="P410" s="422"/>
      <c r="Q410" s="29"/>
      <c r="R410" s="24"/>
      <c r="U410" s="29"/>
      <c r="V410" s="29"/>
    </row>
    <row r="411" spans="2:22" x14ac:dyDescent="0.2">
      <c r="B411" s="21"/>
      <c r="E411" s="422"/>
      <c r="F411" s="422"/>
      <c r="G411" s="422"/>
      <c r="H411" s="422"/>
      <c r="I411" s="422"/>
      <c r="J411" s="422"/>
      <c r="K411" s="422"/>
      <c r="L411" s="422"/>
      <c r="M411" s="422"/>
      <c r="N411" s="422"/>
      <c r="O411" s="422"/>
      <c r="P411" s="422"/>
      <c r="Q411" s="29"/>
      <c r="R411" s="24"/>
      <c r="U411" s="29"/>
      <c r="V411" s="29"/>
    </row>
    <row r="412" spans="2:22" x14ac:dyDescent="0.2">
      <c r="B412" s="21"/>
      <c r="E412" s="422"/>
      <c r="F412" s="422"/>
      <c r="G412" s="422"/>
      <c r="H412" s="422"/>
      <c r="I412" s="422"/>
      <c r="J412" s="422"/>
      <c r="K412" s="422"/>
      <c r="L412" s="422"/>
      <c r="M412" s="422"/>
      <c r="N412" s="422"/>
      <c r="O412" s="422"/>
      <c r="P412" s="422"/>
      <c r="Q412" s="29"/>
      <c r="R412" s="24"/>
      <c r="U412" s="29"/>
      <c r="V412" s="29"/>
    </row>
    <row r="413" spans="2:22" x14ac:dyDescent="0.2">
      <c r="B413" s="21"/>
      <c r="E413" s="422"/>
      <c r="F413" s="422"/>
      <c r="G413" s="422"/>
      <c r="H413" s="422"/>
      <c r="I413" s="422"/>
      <c r="J413" s="422"/>
      <c r="K413" s="422"/>
      <c r="L413" s="422"/>
      <c r="M413" s="422"/>
      <c r="N413" s="422"/>
      <c r="O413" s="422"/>
      <c r="P413" s="422"/>
      <c r="Q413" s="29"/>
      <c r="R413" s="24"/>
      <c r="U413" s="29"/>
      <c r="V413" s="29"/>
    </row>
    <row r="414" spans="2:22" x14ac:dyDescent="0.2">
      <c r="B414" s="21"/>
      <c r="E414" s="422"/>
      <c r="F414" s="422"/>
      <c r="G414" s="422"/>
      <c r="H414" s="422"/>
      <c r="I414" s="422"/>
      <c r="J414" s="422"/>
      <c r="K414" s="422"/>
      <c r="L414" s="422"/>
      <c r="M414" s="422"/>
      <c r="N414" s="422"/>
      <c r="O414" s="422"/>
      <c r="P414" s="422"/>
      <c r="Q414" s="29"/>
      <c r="R414" s="24"/>
      <c r="U414" s="29"/>
      <c r="V414" s="29"/>
    </row>
    <row r="415" spans="2:22" x14ac:dyDescent="0.2">
      <c r="B415" s="21"/>
      <c r="E415" s="422"/>
      <c r="F415" s="422"/>
      <c r="G415" s="422"/>
      <c r="H415" s="422"/>
      <c r="I415" s="422"/>
      <c r="J415" s="422"/>
      <c r="K415" s="422"/>
      <c r="L415" s="422"/>
      <c r="M415" s="422"/>
      <c r="N415" s="422"/>
      <c r="O415" s="422"/>
      <c r="P415" s="422"/>
      <c r="Q415" s="29"/>
      <c r="R415" s="24"/>
      <c r="U415" s="29"/>
      <c r="V415" s="29"/>
    </row>
    <row r="416" spans="2:22" x14ac:dyDescent="0.2">
      <c r="B416" s="21"/>
      <c r="E416" s="422"/>
      <c r="F416" s="422"/>
      <c r="G416" s="422"/>
      <c r="H416" s="422"/>
      <c r="I416" s="422"/>
      <c r="J416" s="422"/>
      <c r="K416" s="422"/>
      <c r="L416" s="422"/>
      <c r="M416" s="422"/>
      <c r="N416" s="422"/>
      <c r="O416" s="422"/>
      <c r="P416" s="422"/>
      <c r="Q416" s="29"/>
      <c r="R416" s="24"/>
      <c r="U416" s="29"/>
      <c r="V416" s="29"/>
    </row>
    <row r="417" spans="2:22" x14ac:dyDescent="0.2">
      <c r="B417" s="21"/>
      <c r="E417" s="422"/>
      <c r="F417" s="422"/>
      <c r="G417" s="422"/>
      <c r="H417" s="422"/>
      <c r="I417" s="422"/>
      <c r="J417" s="422"/>
      <c r="K417" s="422"/>
      <c r="L417" s="422"/>
      <c r="M417" s="422"/>
      <c r="N417" s="422"/>
      <c r="O417" s="422"/>
      <c r="P417" s="422"/>
      <c r="Q417" s="29"/>
      <c r="R417" s="24"/>
      <c r="U417" s="29"/>
      <c r="V417" s="29"/>
    </row>
    <row r="418" spans="2:22" x14ac:dyDescent="0.2">
      <c r="B418" s="21"/>
      <c r="E418" s="422"/>
      <c r="F418" s="422"/>
      <c r="G418" s="422"/>
      <c r="H418" s="422"/>
      <c r="I418" s="422"/>
      <c r="J418" s="422"/>
      <c r="K418" s="422"/>
      <c r="L418" s="422"/>
      <c r="M418" s="422"/>
      <c r="N418" s="422"/>
      <c r="O418" s="422"/>
      <c r="P418" s="422"/>
      <c r="Q418" s="29"/>
      <c r="R418" s="24"/>
      <c r="U418" s="29"/>
      <c r="V418" s="29"/>
    </row>
    <row r="419" spans="2:22" x14ac:dyDescent="0.2">
      <c r="B419" s="21"/>
      <c r="E419" s="422"/>
      <c r="F419" s="422"/>
      <c r="G419" s="422"/>
      <c r="H419" s="422"/>
      <c r="I419" s="422"/>
      <c r="J419" s="422"/>
      <c r="K419" s="422"/>
      <c r="L419" s="422"/>
      <c r="M419" s="422"/>
      <c r="N419" s="422"/>
      <c r="O419" s="422"/>
      <c r="P419" s="422"/>
      <c r="Q419" s="29"/>
      <c r="R419" s="24"/>
      <c r="U419" s="29"/>
      <c r="V419" s="29"/>
    </row>
    <row r="420" spans="2:22" x14ac:dyDescent="0.2">
      <c r="B420" s="21"/>
      <c r="E420" s="422"/>
      <c r="F420" s="422"/>
      <c r="G420" s="422"/>
      <c r="H420" s="422"/>
      <c r="I420" s="422"/>
      <c r="J420" s="422"/>
      <c r="K420" s="422"/>
      <c r="L420" s="422"/>
      <c r="M420" s="422"/>
      <c r="N420" s="422"/>
      <c r="O420" s="422"/>
      <c r="P420" s="422"/>
      <c r="Q420" s="29"/>
      <c r="R420" s="24"/>
      <c r="U420" s="29"/>
      <c r="V420" s="29"/>
    </row>
    <row r="421" spans="2:22" x14ac:dyDescent="0.2">
      <c r="B421" s="21"/>
      <c r="E421" s="422"/>
      <c r="F421" s="422"/>
      <c r="G421" s="422"/>
      <c r="H421" s="422"/>
      <c r="I421" s="422"/>
      <c r="J421" s="422"/>
      <c r="K421" s="422"/>
      <c r="L421" s="422"/>
      <c r="M421" s="422"/>
      <c r="N421" s="422"/>
      <c r="O421" s="422"/>
      <c r="P421" s="422"/>
      <c r="Q421" s="29"/>
      <c r="R421" s="24"/>
      <c r="U421" s="29"/>
      <c r="V421" s="29"/>
    </row>
    <row r="422" spans="2:22" x14ac:dyDescent="0.2">
      <c r="B422" s="21"/>
      <c r="E422" s="422"/>
      <c r="F422" s="422"/>
      <c r="G422" s="422"/>
      <c r="H422" s="422"/>
      <c r="I422" s="422"/>
      <c r="J422" s="422"/>
      <c r="K422" s="422"/>
      <c r="L422" s="422"/>
      <c r="M422" s="422"/>
      <c r="N422" s="422"/>
      <c r="O422" s="422"/>
      <c r="P422" s="422"/>
      <c r="Q422" s="29"/>
      <c r="R422" s="24"/>
      <c r="U422" s="29"/>
      <c r="V422" s="29"/>
    </row>
    <row r="423" spans="2:22" x14ac:dyDescent="0.2">
      <c r="B423" s="21"/>
      <c r="E423" s="422"/>
      <c r="F423" s="422"/>
      <c r="G423" s="422"/>
      <c r="H423" s="422"/>
      <c r="I423" s="422"/>
      <c r="J423" s="422"/>
      <c r="K423" s="422"/>
      <c r="L423" s="422"/>
      <c r="M423" s="422"/>
      <c r="N423" s="422"/>
      <c r="O423" s="422"/>
      <c r="P423" s="422"/>
      <c r="Q423" s="29"/>
      <c r="R423" s="24"/>
      <c r="U423" s="29"/>
      <c r="V423" s="29"/>
    </row>
    <row r="424" spans="2:22" x14ac:dyDescent="0.2">
      <c r="B424" s="21"/>
      <c r="E424" s="422"/>
      <c r="F424" s="422"/>
      <c r="G424" s="422"/>
      <c r="H424" s="422"/>
      <c r="I424" s="422"/>
      <c r="J424" s="422"/>
      <c r="K424" s="422"/>
      <c r="L424" s="422"/>
      <c r="M424" s="422"/>
      <c r="N424" s="422"/>
      <c r="O424" s="422"/>
      <c r="P424" s="422"/>
      <c r="Q424" s="29"/>
      <c r="R424" s="24"/>
      <c r="U424" s="29"/>
      <c r="V424" s="29"/>
    </row>
    <row r="425" spans="2:22" x14ac:dyDescent="0.2">
      <c r="B425" s="21"/>
      <c r="E425" s="422"/>
      <c r="F425" s="422"/>
      <c r="G425" s="422"/>
      <c r="H425" s="422"/>
      <c r="I425" s="422"/>
      <c r="J425" s="422"/>
      <c r="K425" s="422"/>
      <c r="L425" s="422"/>
      <c r="M425" s="422"/>
      <c r="N425" s="422"/>
      <c r="O425" s="422"/>
      <c r="P425" s="422"/>
      <c r="Q425" s="29"/>
      <c r="R425" s="24"/>
      <c r="U425" s="29"/>
      <c r="V425" s="29"/>
    </row>
    <row r="426" spans="2:22" x14ac:dyDescent="0.2">
      <c r="B426" s="21"/>
      <c r="E426" s="422"/>
      <c r="F426" s="422"/>
      <c r="G426" s="422"/>
      <c r="H426" s="422"/>
      <c r="I426" s="422"/>
      <c r="J426" s="422"/>
      <c r="K426" s="422"/>
      <c r="L426" s="422"/>
      <c r="M426" s="422"/>
      <c r="N426" s="422"/>
      <c r="O426" s="422"/>
      <c r="P426" s="422"/>
      <c r="Q426" s="29"/>
      <c r="R426" s="24"/>
      <c r="U426" s="29"/>
      <c r="V426" s="29"/>
    </row>
    <row r="427" spans="2:22" x14ac:dyDescent="0.2">
      <c r="B427" s="21"/>
      <c r="E427" s="422"/>
      <c r="F427" s="422"/>
      <c r="G427" s="422"/>
      <c r="H427" s="422"/>
      <c r="I427" s="422"/>
      <c r="J427" s="422"/>
      <c r="K427" s="422"/>
      <c r="L427" s="422"/>
      <c r="M427" s="422"/>
      <c r="N427" s="422"/>
      <c r="O427" s="422"/>
      <c r="P427" s="422"/>
      <c r="Q427" s="29"/>
      <c r="R427" s="24"/>
      <c r="U427" s="29"/>
      <c r="V427" s="29"/>
    </row>
    <row r="428" spans="2:22" x14ac:dyDescent="0.2">
      <c r="B428" s="21"/>
      <c r="E428" s="422"/>
      <c r="F428" s="422"/>
      <c r="G428" s="422"/>
      <c r="H428" s="422"/>
      <c r="I428" s="422"/>
      <c r="J428" s="422"/>
      <c r="K428" s="422"/>
      <c r="L428" s="422"/>
      <c r="M428" s="422"/>
      <c r="N428" s="422"/>
      <c r="O428" s="422"/>
      <c r="P428" s="422"/>
      <c r="Q428" s="29"/>
      <c r="R428" s="24"/>
      <c r="U428" s="29"/>
      <c r="V428" s="29"/>
    </row>
    <row r="429" spans="2:22" x14ac:dyDescent="0.2">
      <c r="B429" s="21"/>
      <c r="E429" s="422"/>
      <c r="F429" s="422"/>
      <c r="G429" s="422"/>
      <c r="H429" s="422"/>
      <c r="I429" s="422"/>
      <c r="J429" s="422"/>
      <c r="K429" s="422"/>
      <c r="L429" s="422"/>
      <c r="M429" s="422"/>
      <c r="N429" s="422"/>
      <c r="O429" s="422"/>
      <c r="P429" s="422"/>
      <c r="Q429" s="29"/>
      <c r="R429" s="24"/>
      <c r="U429" s="29"/>
      <c r="V429" s="29"/>
    </row>
    <row r="430" spans="2:22" x14ac:dyDescent="0.2">
      <c r="B430" s="21"/>
      <c r="E430" s="422"/>
      <c r="F430" s="422"/>
      <c r="G430" s="422"/>
      <c r="H430" s="422"/>
      <c r="I430" s="422"/>
      <c r="J430" s="422"/>
      <c r="K430" s="422"/>
      <c r="L430" s="422"/>
      <c r="M430" s="422"/>
      <c r="N430" s="422"/>
      <c r="O430" s="422"/>
      <c r="P430" s="422"/>
      <c r="Q430" s="29"/>
      <c r="R430" s="24"/>
      <c r="U430" s="29"/>
      <c r="V430" s="29"/>
    </row>
    <row r="431" spans="2:22" x14ac:dyDescent="0.2">
      <c r="B431" s="21"/>
      <c r="E431" s="422"/>
      <c r="F431" s="422"/>
      <c r="G431" s="422"/>
      <c r="H431" s="422"/>
      <c r="I431" s="422"/>
      <c r="J431" s="422"/>
      <c r="K431" s="422"/>
      <c r="L431" s="422"/>
      <c r="M431" s="422"/>
      <c r="N431" s="422"/>
      <c r="O431" s="422"/>
      <c r="P431" s="422"/>
      <c r="Q431" s="29"/>
      <c r="R431" s="24"/>
      <c r="U431" s="29"/>
      <c r="V431" s="29"/>
    </row>
    <row r="432" spans="2:22" x14ac:dyDescent="0.2">
      <c r="B432" s="21"/>
      <c r="E432" s="422"/>
      <c r="F432" s="422"/>
      <c r="G432" s="422"/>
      <c r="H432" s="422"/>
      <c r="I432" s="422"/>
      <c r="J432" s="422"/>
      <c r="K432" s="422"/>
      <c r="L432" s="422"/>
      <c r="M432" s="422"/>
      <c r="N432" s="422"/>
      <c r="O432" s="422"/>
      <c r="P432" s="422"/>
      <c r="Q432" s="29"/>
      <c r="R432" s="24"/>
      <c r="U432" s="29"/>
      <c r="V432" s="29"/>
    </row>
    <row r="433" spans="2:22" x14ac:dyDescent="0.2">
      <c r="B433" s="21"/>
      <c r="E433" s="422"/>
      <c r="F433" s="422"/>
      <c r="G433" s="422"/>
      <c r="H433" s="422"/>
      <c r="I433" s="422"/>
      <c r="J433" s="422"/>
      <c r="K433" s="422"/>
      <c r="L433" s="422"/>
      <c r="M433" s="422"/>
      <c r="N433" s="422"/>
      <c r="O433" s="422"/>
      <c r="P433" s="422"/>
      <c r="Q433" s="29"/>
      <c r="R433" s="24"/>
      <c r="U433" s="29"/>
      <c r="V433" s="29"/>
    </row>
    <row r="434" spans="2:22" x14ac:dyDescent="0.2">
      <c r="B434" s="21"/>
      <c r="E434" s="422"/>
      <c r="F434" s="422"/>
      <c r="G434" s="422"/>
      <c r="H434" s="422"/>
      <c r="I434" s="422"/>
      <c r="J434" s="422"/>
      <c r="K434" s="422"/>
      <c r="L434" s="422"/>
      <c r="M434" s="422"/>
      <c r="N434" s="422"/>
      <c r="O434" s="422"/>
      <c r="P434" s="422"/>
      <c r="Q434" s="29"/>
      <c r="R434" s="24"/>
      <c r="U434" s="29"/>
      <c r="V434" s="29"/>
    </row>
    <row r="435" spans="2:22" x14ac:dyDescent="0.2">
      <c r="B435" s="21"/>
      <c r="E435" s="422"/>
      <c r="F435" s="422"/>
      <c r="G435" s="422"/>
      <c r="H435" s="422"/>
      <c r="I435" s="422"/>
      <c r="J435" s="422"/>
      <c r="K435" s="422"/>
      <c r="L435" s="422"/>
      <c r="M435" s="422"/>
      <c r="N435" s="422"/>
      <c r="O435" s="422"/>
      <c r="P435" s="422"/>
      <c r="Q435" s="29"/>
      <c r="R435" s="24"/>
      <c r="U435" s="29"/>
      <c r="V435" s="29"/>
    </row>
    <row r="436" spans="2:22" x14ac:dyDescent="0.2">
      <c r="B436" s="21"/>
      <c r="E436" s="422"/>
      <c r="F436" s="422"/>
      <c r="G436" s="422"/>
      <c r="H436" s="422"/>
      <c r="I436" s="422"/>
      <c r="J436" s="422"/>
      <c r="K436" s="422"/>
      <c r="L436" s="422"/>
      <c r="M436" s="422"/>
      <c r="N436" s="422"/>
      <c r="O436" s="422"/>
      <c r="P436" s="422"/>
      <c r="Q436" s="29"/>
      <c r="R436" s="24"/>
      <c r="U436" s="29"/>
      <c r="V436" s="29"/>
    </row>
    <row r="437" spans="2:22" x14ac:dyDescent="0.2">
      <c r="B437" s="21"/>
      <c r="E437" s="422"/>
      <c r="F437" s="422"/>
      <c r="G437" s="422"/>
      <c r="H437" s="422"/>
      <c r="I437" s="422"/>
      <c r="J437" s="422"/>
      <c r="K437" s="422"/>
      <c r="L437" s="422"/>
      <c r="M437" s="422"/>
      <c r="N437" s="422"/>
      <c r="O437" s="422"/>
      <c r="P437" s="422"/>
      <c r="Q437" s="29"/>
      <c r="R437" s="24"/>
      <c r="U437" s="29"/>
      <c r="V437" s="29"/>
    </row>
    <row r="438" spans="2:22" x14ac:dyDescent="0.2">
      <c r="B438" s="21"/>
      <c r="E438" s="422"/>
      <c r="F438" s="422"/>
      <c r="G438" s="422"/>
      <c r="H438" s="422"/>
      <c r="I438" s="422"/>
      <c r="J438" s="422"/>
      <c r="K438" s="422"/>
      <c r="L438" s="422"/>
      <c r="M438" s="422"/>
      <c r="N438" s="422"/>
      <c r="O438" s="422"/>
      <c r="P438" s="422"/>
      <c r="Q438" s="29"/>
      <c r="R438" s="24"/>
      <c r="U438" s="29"/>
      <c r="V438" s="29"/>
    </row>
    <row r="439" spans="2:22" x14ac:dyDescent="0.2">
      <c r="B439" s="21"/>
      <c r="E439" s="422"/>
      <c r="F439" s="422"/>
      <c r="G439" s="422"/>
      <c r="H439" s="422"/>
      <c r="I439" s="422"/>
      <c r="J439" s="422"/>
      <c r="K439" s="422"/>
      <c r="L439" s="422"/>
      <c r="M439" s="422"/>
      <c r="N439" s="422"/>
      <c r="O439" s="422"/>
      <c r="P439" s="422"/>
      <c r="Q439" s="29"/>
      <c r="R439" s="24"/>
      <c r="U439" s="29"/>
      <c r="V439" s="29"/>
    </row>
    <row r="440" spans="2:22" x14ac:dyDescent="0.2">
      <c r="B440" s="21"/>
      <c r="E440" s="422"/>
      <c r="F440" s="422"/>
      <c r="G440" s="422"/>
      <c r="H440" s="422"/>
      <c r="I440" s="422"/>
      <c r="J440" s="422"/>
      <c r="K440" s="422"/>
      <c r="L440" s="422"/>
      <c r="M440" s="422"/>
      <c r="N440" s="422"/>
      <c r="O440" s="422"/>
      <c r="P440" s="422"/>
      <c r="Q440" s="29"/>
      <c r="R440" s="24"/>
      <c r="U440" s="29"/>
      <c r="V440" s="29"/>
    </row>
    <row r="441" spans="2:22" x14ac:dyDescent="0.2">
      <c r="B441" s="21"/>
      <c r="E441" s="422"/>
      <c r="F441" s="422"/>
      <c r="G441" s="422"/>
      <c r="H441" s="422"/>
      <c r="I441" s="422"/>
      <c r="J441" s="422"/>
      <c r="K441" s="422"/>
      <c r="L441" s="422"/>
      <c r="M441" s="422"/>
      <c r="N441" s="422"/>
      <c r="O441" s="422"/>
      <c r="P441" s="422"/>
      <c r="Q441" s="29"/>
      <c r="R441" s="24"/>
      <c r="U441" s="29"/>
      <c r="V441" s="29"/>
    </row>
    <row r="442" spans="2:22" x14ac:dyDescent="0.2">
      <c r="B442" s="21"/>
      <c r="E442" s="422"/>
      <c r="F442" s="422"/>
      <c r="G442" s="422"/>
      <c r="H442" s="422"/>
      <c r="I442" s="422"/>
      <c r="J442" s="422"/>
      <c r="K442" s="422"/>
      <c r="L442" s="422"/>
      <c r="M442" s="422"/>
      <c r="N442" s="422"/>
      <c r="O442" s="422"/>
      <c r="P442" s="422"/>
      <c r="Q442" s="29"/>
      <c r="R442" s="24"/>
      <c r="U442" s="29"/>
      <c r="V442" s="29"/>
    </row>
    <row r="443" spans="2:22" x14ac:dyDescent="0.2">
      <c r="B443" s="21"/>
      <c r="E443" s="422"/>
      <c r="F443" s="422"/>
      <c r="G443" s="422"/>
      <c r="H443" s="422"/>
      <c r="I443" s="422"/>
      <c r="J443" s="422"/>
      <c r="K443" s="422"/>
      <c r="L443" s="422"/>
      <c r="M443" s="422"/>
      <c r="N443" s="422"/>
      <c r="O443" s="422"/>
      <c r="P443" s="422"/>
      <c r="Q443" s="29"/>
      <c r="R443" s="24"/>
      <c r="U443" s="29"/>
      <c r="V443" s="29"/>
    </row>
    <row r="444" spans="2:22" x14ac:dyDescent="0.2">
      <c r="B444" s="21"/>
      <c r="E444" s="422"/>
      <c r="F444" s="422"/>
      <c r="G444" s="422"/>
      <c r="H444" s="422"/>
      <c r="I444" s="422"/>
      <c r="J444" s="422"/>
      <c r="K444" s="422"/>
      <c r="L444" s="422"/>
      <c r="M444" s="422"/>
      <c r="N444" s="422"/>
      <c r="O444" s="422"/>
      <c r="P444" s="422"/>
      <c r="Q444" s="29"/>
      <c r="R444" s="24"/>
      <c r="U444" s="29"/>
      <c r="V444" s="29"/>
    </row>
    <row r="445" spans="2:22" x14ac:dyDescent="0.2">
      <c r="B445" s="21"/>
      <c r="E445" s="422"/>
      <c r="F445" s="422"/>
      <c r="G445" s="422"/>
      <c r="H445" s="422"/>
      <c r="I445" s="422"/>
      <c r="J445" s="422"/>
      <c r="K445" s="422"/>
      <c r="L445" s="422"/>
      <c r="M445" s="422"/>
      <c r="N445" s="422"/>
      <c r="O445" s="422"/>
      <c r="P445" s="422"/>
      <c r="Q445" s="29"/>
      <c r="R445" s="24"/>
      <c r="U445" s="29"/>
      <c r="V445" s="29"/>
    </row>
    <row r="446" spans="2:22" x14ac:dyDescent="0.2">
      <c r="B446" s="21"/>
      <c r="E446" s="422"/>
      <c r="F446" s="422"/>
      <c r="G446" s="422"/>
      <c r="H446" s="422"/>
      <c r="I446" s="422"/>
      <c r="J446" s="422"/>
      <c r="K446" s="422"/>
      <c r="L446" s="422"/>
      <c r="M446" s="422"/>
      <c r="N446" s="422"/>
      <c r="O446" s="422"/>
      <c r="P446" s="422"/>
      <c r="Q446" s="29"/>
      <c r="R446" s="24"/>
      <c r="U446" s="29"/>
      <c r="V446" s="29"/>
    </row>
    <row r="447" spans="2:22" x14ac:dyDescent="0.2">
      <c r="B447" s="21"/>
      <c r="E447" s="422"/>
      <c r="F447" s="422"/>
      <c r="G447" s="422"/>
      <c r="H447" s="422"/>
      <c r="I447" s="422"/>
      <c r="J447" s="422"/>
      <c r="K447" s="422"/>
      <c r="L447" s="422"/>
      <c r="M447" s="422"/>
      <c r="N447" s="422"/>
      <c r="O447" s="422"/>
      <c r="P447" s="422"/>
      <c r="Q447" s="29"/>
      <c r="R447" s="24"/>
      <c r="U447" s="29"/>
      <c r="V447" s="29"/>
    </row>
    <row r="448" spans="2:22" x14ac:dyDescent="0.2">
      <c r="B448" s="21"/>
      <c r="E448" s="422"/>
      <c r="F448" s="422"/>
      <c r="G448" s="422"/>
      <c r="H448" s="422"/>
      <c r="I448" s="422"/>
      <c r="J448" s="422"/>
      <c r="K448" s="422"/>
      <c r="L448" s="422"/>
      <c r="M448" s="422"/>
      <c r="N448" s="422"/>
      <c r="O448" s="422"/>
      <c r="P448" s="422"/>
      <c r="Q448" s="29"/>
      <c r="R448" s="24"/>
      <c r="U448" s="29"/>
      <c r="V448" s="29"/>
    </row>
    <row r="449" spans="2:22" x14ac:dyDescent="0.2">
      <c r="B449" s="21"/>
      <c r="E449" s="422"/>
      <c r="F449" s="422"/>
      <c r="G449" s="422"/>
      <c r="H449" s="422"/>
      <c r="I449" s="422"/>
      <c r="J449" s="422"/>
      <c r="K449" s="422"/>
      <c r="L449" s="422"/>
      <c r="M449" s="422"/>
      <c r="N449" s="422"/>
      <c r="O449" s="422"/>
      <c r="P449" s="422"/>
      <c r="Q449" s="29"/>
      <c r="R449" s="24"/>
      <c r="U449" s="29"/>
      <c r="V449" s="29"/>
    </row>
    <row r="450" spans="2:22" x14ac:dyDescent="0.2">
      <c r="B450" s="21"/>
      <c r="E450" s="422"/>
      <c r="F450" s="422"/>
      <c r="G450" s="422"/>
      <c r="H450" s="422"/>
      <c r="I450" s="422"/>
      <c r="J450" s="422"/>
      <c r="K450" s="422"/>
      <c r="L450" s="422"/>
      <c r="M450" s="422"/>
      <c r="N450" s="422"/>
      <c r="O450" s="422"/>
      <c r="P450" s="422"/>
      <c r="Q450" s="29"/>
      <c r="R450" s="24"/>
      <c r="U450" s="29"/>
      <c r="V450" s="29"/>
    </row>
    <row r="451" spans="2:22" x14ac:dyDescent="0.2">
      <c r="B451" s="21"/>
      <c r="E451" s="422"/>
      <c r="F451" s="422"/>
      <c r="G451" s="422"/>
      <c r="H451" s="422"/>
      <c r="I451" s="422"/>
      <c r="J451" s="422"/>
      <c r="K451" s="422"/>
      <c r="L451" s="422"/>
      <c r="M451" s="422"/>
      <c r="N451" s="422"/>
      <c r="O451" s="422"/>
      <c r="P451" s="422"/>
      <c r="Q451" s="29"/>
      <c r="R451" s="24"/>
      <c r="U451" s="29"/>
      <c r="V451" s="29"/>
    </row>
    <row r="452" spans="2:22" x14ac:dyDescent="0.2">
      <c r="B452" s="21"/>
      <c r="E452" s="422"/>
      <c r="F452" s="422"/>
      <c r="G452" s="422"/>
      <c r="H452" s="422"/>
      <c r="I452" s="422"/>
      <c r="J452" s="422"/>
      <c r="K452" s="422"/>
      <c r="L452" s="422"/>
      <c r="M452" s="422"/>
      <c r="N452" s="422"/>
      <c r="O452" s="422"/>
      <c r="P452" s="422"/>
      <c r="Q452" s="29"/>
      <c r="R452" s="24"/>
      <c r="U452" s="29"/>
      <c r="V452" s="29"/>
    </row>
    <row r="453" spans="2:22" x14ac:dyDescent="0.2">
      <c r="B453" s="21"/>
      <c r="E453" s="422"/>
      <c r="F453" s="422"/>
      <c r="G453" s="422"/>
      <c r="H453" s="422"/>
      <c r="I453" s="422"/>
      <c r="J453" s="422"/>
      <c r="K453" s="422"/>
      <c r="L453" s="422"/>
      <c r="M453" s="422"/>
      <c r="N453" s="422"/>
      <c r="O453" s="422"/>
      <c r="P453" s="422"/>
      <c r="Q453" s="29"/>
      <c r="R453" s="24"/>
      <c r="U453" s="29"/>
      <c r="V453" s="29"/>
    </row>
    <row r="454" spans="2:22" x14ac:dyDescent="0.2">
      <c r="B454" s="21"/>
      <c r="E454" s="422"/>
      <c r="F454" s="422"/>
      <c r="G454" s="422"/>
      <c r="H454" s="422"/>
      <c r="I454" s="422"/>
      <c r="J454" s="422"/>
      <c r="K454" s="422"/>
      <c r="L454" s="422"/>
      <c r="M454" s="422"/>
      <c r="N454" s="422"/>
      <c r="O454" s="422"/>
      <c r="P454" s="422"/>
      <c r="Q454" s="29"/>
      <c r="R454" s="24"/>
      <c r="U454" s="29"/>
      <c r="V454" s="29"/>
    </row>
    <row r="455" spans="2:22" x14ac:dyDescent="0.2">
      <c r="B455" s="21"/>
      <c r="E455" s="422"/>
      <c r="F455" s="422"/>
      <c r="G455" s="422"/>
      <c r="H455" s="422"/>
      <c r="I455" s="422"/>
      <c r="J455" s="422"/>
      <c r="K455" s="422"/>
      <c r="L455" s="422"/>
      <c r="M455" s="422"/>
      <c r="N455" s="422"/>
      <c r="O455" s="422"/>
      <c r="P455" s="422"/>
      <c r="Q455" s="29"/>
      <c r="R455" s="24"/>
      <c r="U455" s="29"/>
      <c r="V455" s="29"/>
    </row>
    <row r="456" spans="2:22" x14ac:dyDescent="0.2">
      <c r="B456" s="21"/>
      <c r="E456" s="422"/>
      <c r="F456" s="422"/>
      <c r="G456" s="422"/>
      <c r="H456" s="422"/>
      <c r="I456" s="422"/>
      <c r="J456" s="422"/>
      <c r="K456" s="422"/>
      <c r="L456" s="422"/>
      <c r="M456" s="422"/>
      <c r="N456" s="422"/>
      <c r="O456" s="422"/>
      <c r="P456" s="422"/>
      <c r="Q456" s="29"/>
      <c r="R456" s="24"/>
      <c r="U456" s="29"/>
      <c r="V456" s="29"/>
    </row>
    <row r="457" spans="2:22" x14ac:dyDescent="0.2">
      <c r="B457" s="21"/>
      <c r="E457" s="422"/>
      <c r="F457" s="422"/>
      <c r="G457" s="422"/>
      <c r="H457" s="422"/>
      <c r="I457" s="422"/>
      <c r="J457" s="422"/>
      <c r="K457" s="422"/>
      <c r="L457" s="422"/>
      <c r="M457" s="422"/>
      <c r="N457" s="422"/>
      <c r="O457" s="422"/>
      <c r="P457" s="422"/>
      <c r="Q457" s="29"/>
      <c r="R457" s="24"/>
      <c r="U457" s="29"/>
      <c r="V457" s="29"/>
    </row>
    <row r="458" spans="2:22" x14ac:dyDescent="0.2">
      <c r="B458" s="21"/>
      <c r="E458" s="422"/>
      <c r="F458" s="422"/>
      <c r="G458" s="422"/>
      <c r="H458" s="422"/>
      <c r="I458" s="422"/>
      <c r="J458" s="422"/>
      <c r="K458" s="422"/>
      <c r="L458" s="422"/>
      <c r="M458" s="422"/>
      <c r="N458" s="422"/>
      <c r="O458" s="422"/>
      <c r="P458" s="422"/>
      <c r="Q458" s="29"/>
      <c r="R458" s="24"/>
      <c r="U458" s="29"/>
      <c r="V458" s="29"/>
    </row>
    <row r="459" spans="2:22" x14ac:dyDescent="0.2">
      <c r="B459" s="21"/>
      <c r="E459" s="422"/>
      <c r="F459" s="422"/>
      <c r="G459" s="422"/>
      <c r="H459" s="422"/>
      <c r="I459" s="422"/>
      <c r="J459" s="422"/>
      <c r="K459" s="422"/>
      <c r="L459" s="422"/>
      <c r="M459" s="422"/>
      <c r="N459" s="422"/>
      <c r="O459" s="422"/>
      <c r="P459" s="422"/>
      <c r="Q459" s="29"/>
      <c r="R459" s="24"/>
      <c r="U459" s="29"/>
      <c r="V459" s="29"/>
    </row>
    <row r="460" spans="2:22" x14ac:dyDescent="0.2">
      <c r="B460" s="21"/>
      <c r="E460" s="422"/>
      <c r="F460" s="422"/>
      <c r="G460" s="422"/>
      <c r="H460" s="422"/>
      <c r="I460" s="422"/>
      <c r="J460" s="422"/>
      <c r="K460" s="422"/>
      <c r="L460" s="422"/>
      <c r="M460" s="422"/>
      <c r="N460" s="422"/>
      <c r="O460" s="422"/>
      <c r="P460" s="422"/>
      <c r="Q460" s="29"/>
      <c r="R460" s="24"/>
      <c r="U460" s="29"/>
      <c r="V460" s="29"/>
    </row>
    <row r="461" spans="2:22" x14ac:dyDescent="0.2">
      <c r="B461" s="21"/>
      <c r="E461" s="422"/>
      <c r="F461" s="422"/>
      <c r="G461" s="422"/>
      <c r="H461" s="422"/>
      <c r="I461" s="422"/>
      <c r="J461" s="422"/>
      <c r="K461" s="422"/>
      <c r="L461" s="422"/>
      <c r="M461" s="422"/>
      <c r="N461" s="422"/>
      <c r="O461" s="422"/>
      <c r="P461" s="422"/>
      <c r="Q461" s="29"/>
      <c r="R461" s="24"/>
      <c r="U461" s="29"/>
      <c r="V461" s="29"/>
    </row>
    <row r="462" spans="2:22" x14ac:dyDescent="0.2">
      <c r="B462" s="21"/>
      <c r="E462" s="422"/>
      <c r="F462" s="422"/>
      <c r="G462" s="422"/>
      <c r="H462" s="422"/>
      <c r="I462" s="422"/>
      <c r="J462" s="422"/>
      <c r="K462" s="422"/>
      <c r="L462" s="422"/>
      <c r="M462" s="422"/>
      <c r="N462" s="422"/>
      <c r="O462" s="422"/>
      <c r="P462" s="422"/>
      <c r="Q462" s="29"/>
      <c r="R462" s="24"/>
      <c r="U462" s="29"/>
      <c r="V462" s="29"/>
    </row>
    <row r="463" spans="2:22" x14ac:dyDescent="0.2">
      <c r="B463" s="21"/>
      <c r="E463" s="422"/>
      <c r="F463" s="422"/>
      <c r="G463" s="422"/>
      <c r="H463" s="422"/>
      <c r="I463" s="422"/>
      <c r="J463" s="422"/>
      <c r="K463" s="422"/>
      <c r="L463" s="422"/>
      <c r="M463" s="422"/>
      <c r="N463" s="422"/>
      <c r="O463" s="422"/>
      <c r="P463" s="422"/>
      <c r="Q463" s="29"/>
      <c r="R463" s="24"/>
      <c r="U463" s="29"/>
      <c r="V463" s="29"/>
    </row>
    <row r="464" spans="2:22" x14ac:dyDescent="0.2">
      <c r="B464" s="21"/>
      <c r="E464" s="422"/>
      <c r="F464" s="422"/>
      <c r="G464" s="422"/>
      <c r="H464" s="422"/>
      <c r="I464" s="422"/>
      <c r="J464" s="422"/>
      <c r="K464" s="422"/>
      <c r="L464" s="422"/>
      <c r="M464" s="422"/>
      <c r="N464" s="422"/>
      <c r="O464" s="422"/>
      <c r="P464" s="422"/>
      <c r="Q464" s="29"/>
      <c r="R464" s="24"/>
      <c r="U464" s="29"/>
      <c r="V464" s="29"/>
    </row>
    <row r="465" spans="2:22" x14ac:dyDescent="0.2">
      <c r="B465" s="21"/>
      <c r="E465" s="422"/>
      <c r="F465" s="422"/>
      <c r="G465" s="422"/>
      <c r="H465" s="422"/>
      <c r="I465" s="422"/>
      <c r="J465" s="422"/>
      <c r="K465" s="422"/>
      <c r="L465" s="422"/>
      <c r="M465" s="422"/>
      <c r="N465" s="422"/>
      <c r="O465" s="422"/>
      <c r="P465" s="422"/>
      <c r="Q465" s="29"/>
      <c r="R465" s="24"/>
      <c r="U465" s="29"/>
      <c r="V465" s="29"/>
    </row>
    <row r="466" spans="2:22" x14ac:dyDescent="0.2">
      <c r="B466" s="21"/>
      <c r="E466" s="422"/>
      <c r="F466" s="422"/>
      <c r="G466" s="422"/>
      <c r="H466" s="422"/>
      <c r="I466" s="422"/>
      <c r="J466" s="422"/>
      <c r="K466" s="422"/>
      <c r="L466" s="422"/>
      <c r="M466" s="422"/>
      <c r="N466" s="422"/>
      <c r="O466" s="422"/>
      <c r="P466" s="422"/>
      <c r="Q466" s="29"/>
      <c r="R466" s="24"/>
      <c r="U466" s="29"/>
      <c r="V466" s="29"/>
    </row>
    <row r="467" spans="2:22" x14ac:dyDescent="0.2">
      <c r="B467" s="21"/>
      <c r="E467" s="422"/>
      <c r="F467" s="422"/>
      <c r="G467" s="422"/>
      <c r="H467" s="422"/>
      <c r="I467" s="422"/>
      <c r="J467" s="422"/>
      <c r="K467" s="422"/>
      <c r="L467" s="422"/>
      <c r="M467" s="422"/>
      <c r="N467" s="422"/>
      <c r="O467" s="422"/>
      <c r="P467" s="422"/>
      <c r="Q467" s="29"/>
      <c r="R467" s="24"/>
      <c r="U467" s="29"/>
      <c r="V467" s="29"/>
    </row>
    <row r="468" spans="2:22" x14ac:dyDescent="0.2">
      <c r="B468" s="21"/>
      <c r="E468" s="422"/>
      <c r="F468" s="422"/>
      <c r="G468" s="422"/>
      <c r="H468" s="422"/>
      <c r="I468" s="422"/>
      <c r="J468" s="422"/>
      <c r="K468" s="422"/>
      <c r="L468" s="422"/>
      <c r="M468" s="422"/>
      <c r="N468" s="422"/>
      <c r="O468" s="422"/>
      <c r="P468" s="422"/>
      <c r="Q468" s="29"/>
      <c r="R468" s="24"/>
      <c r="U468" s="29"/>
      <c r="V468" s="29"/>
    </row>
    <row r="469" spans="2:22" x14ac:dyDescent="0.2">
      <c r="B469" s="21"/>
    </row>
    <row r="470" spans="2:22" x14ac:dyDescent="0.2">
      <c r="B470" s="21"/>
    </row>
    <row r="471" spans="2:22" x14ac:dyDescent="0.2">
      <c r="B471" s="21"/>
    </row>
    <row r="472" spans="2:22" x14ac:dyDescent="0.2">
      <c r="B472" s="21"/>
    </row>
    <row r="473" spans="2:22" x14ac:dyDescent="0.2">
      <c r="B473" s="21"/>
    </row>
    <row r="474" spans="2:22" x14ac:dyDescent="0.2">
      <c r="B474" s="21"/>
    </row>
    <row r="475" spans="2:22" x14ac:dyDescent="0.2">
      <c r="B475" s="21"/>
    </row>
    <row r="476" spans="2:22" x14ac:dyDescent="0.2">
      <c r="B476" s="21"/>
    </row>
    <row r="477" spans="2:22" x14ac:dyDescent="0.2">
      <c r="B477" s="21"/>
    </row>
    <row r="478" spans="2:22" x14ac:dyDescent="0.2">
      <c r="B478" s="21"/>
    </row>
    <row r="479" spans="2:22" x14ac:dyDescent="0.2">
      <c r="B479" s="21"/>
    </row>
    <row r="480" spans="2:22" x14ac:dyDescent="0.2">
      <c r="B480" s="21"/>
    </row>
    <row r="481" spans="2:2" x14ac:dyDescent="0.2">
      <c r="B481" s="21"/>
    </row>
    <row r="482" spans="2:2" x14ac:dyDescent="0.2">
      <c r="B482" s="21"/>
    </row>
    <row r="483" spans="2:2" x14ac:dyDescent="0.2">
      <c r="B483" s="21"/>
    </row>
    <row r="484" spans="2:2" x14ac:dyDescent="0.2">
      <c r="B484" s="21"/>
    </row>
    <row r="485" spans="2:2" x14ac:dyDescent="0.2">
      <c r="B485" s="21"/>
    </row>
    <row r="486" spans="2:2" x14ac:dyDescent="0.2">
      <c r="B486" s="21"/>
    </row>
    <row r="487" spans="2:2" x14ac:dyDescent="0.2">
      <c r="B487" s="21"/>
    </row>
    <row r="488" spans="2:2" x14ac:dyDescent="0.2">
      <c r="B488" s="21"/>
    </row>
    <row r="489" spans="2:2" x14ac:dyDescent="0.2">
      <c r="B489" s="21"/>
    </row>
    <row r="490" spans="2:2" x14ac:dyDescent="0.2">
      <c r="B490" s="21"/>
    </row>
    <row r="491" spans="2:2" x14ac:dyDescent="0.2">
      <c r="B491" s="21"/>
    </row>
    <row r="492" spans="2:2" x14ac:dyDescent="0.2">
      <c r="B492" s="21"/>
    </row>
    <row r="493" spans="2:2" x14ac:dyDescent="0.2">
      <c r="B493" s="21"/>
    </row>
    <row r="494" spans="2:2" x14ac:dyDescent="0.2">
      <c r="B494" s="21"/>
    </row>
    <row r="495" spans="2:2" x14ac:dyDescent="0.2">
      <c r="B495" s="21"/>
    </row>
    <row r="496" spans="2:2" x14ac:dyDescent="0.2">
      <c r="B496" s="21"/>
    </row>
    <row r="497" spans="2:2" x14ac:dyDescent="0.2">
      <c r="B497" s="21"/>
    </row>
    <row r="498" spans="2:2" x14ac:dyDescent="0.2">
      <c r="B498" s="21"/>
    </row>
    <row r="499" spans="2:2" x14ac:dyDescent="0.2">
      <c r="B499" s="21"/>
    </row>
    <row r="500" spans="2:2" x14ac:dyDescent="0.2">
      <c r="B500" s="21"/>
    </row>
    <row r="501" spans="2:2" x14ac:dyDescent="0.2">
      <c r="B501" s="21"/>
    </row>
    <row r="502" spans="2:2" x14ac:dyDescent="0.2">
      <c r="B502" s="21"/>
    </row>
    <row r="503" spans="2:2" x14ac:dyDescent="0.2">
      <c r="B503" s="21"/>
    </row>
  </sheetData>
  <mergeCells count="294">
    <mergeCell ref="Q147:Q148"/>
    <mergeCell ref="V147:V148"/>
    <mergeCell ref="E146:J146"/>
    <mergeCell ref="K146:P146"/>
    <mergeCell ref="A147:A148"/>
    <mergeCell ref="B147:B148"/>
    <mergeCell ref="D147:D148"/>
    <mergeCell ref="E147:P148"/>
    <mergeCell ref="E143:J143"/>
    <mergeCell ref="K143:P143"/>
    <mergeCell ref="E144:J144"/>
    <mergeCell ref="K144:P144"/>
    <mergeCell ref="E145:J145"/>
    <mergeCell ref="K145:P145"/>
    <mergeCell ref="A138:A146"/>
    <mergeCell ref="E138:J138"/>
    <mergeCell ref="K138:P138"/>
    <mergeCell ref="E139:J139"/>
    <mergeCell ref="K139:P139"/>
    <mergeCell ref="E140:J140"/>
    <mergeCell ref="K140:P140"/>
    <mergeCell ref="E141:P141"/>
    <mergeCell ref="E142:J142"/>
    <mergeCell ref="K142:P142"/>
    <mergeCell ref="K133:P133"/>
    <mergeCell ref="A134:A135"/>
    <mergeCell ref="E134:P134"/>
    <mergeCell ref="E135:J135"/>
    <mergeCell ref="K135:P135"/>
    <mergeCell ref="A136:A137"/>
    <mergeCell ref="E136:P136"/>
    <mergeCell ref="E137:P137"/>
    <mergeCell ref="B130:B133"/>
    <mergeCell ref="D130:D133"/>
    <mergeCell ref="E130:J130"/>
    <mergeCell ref="K130:P130"/>
    <mergeCell ref="D126:D129"/>
    <mergeCell ref="E126:J126"/>
    <mergeCell ref="K126:P126"/>
    <mergeCell ref="E127:J127"/>
    <mergeCell ref="K127:P127"/>
    <mergeCell ref="E128:J128"/>
    <mergeCell ref="K128:P128"/>
    <mergeCell ref="E129:J129"/>
    <mergeCell ref="K129:P129"/>
    <mergeCell ref="E123:J123"/>
    <mergeCell ref="K123:P123"/>
    <mergeCell ref="E124:P124"/>
    <mergeCell ref="X124:X125"/>
    <mergeCell ref="Y124:Z124"/>
    <mergeCell ref="AB124:AC124"/>
    <mergeCell ref="E125:P125"/>
    <mergeCell ref="A120:A133"/>
    <mergeCell ref="B120:B123"/>
    <mergeCell ref="D120:D123"/>
    <mergeCell ref="E120:J120"/>
    <mergeCell ref="K120:P120"/>
    <mergeCell ref="V120:V123"/>
    <mergeCell ref="E121:J121"/>
    <mergeCell ref="K121:P121"/>
    <mergeCell ref="E122:J122"/>
    <mergeCell ref="K122:P122"/>
    <mergeCell ref="V130:V133"/>
    <mergeCell ref="E131:J131"/>
    <mergeCell ref="K131:P131"/>
    <mergeCell ref="E132:J132"/>
    <mergeCell ref="K132:P132"/>
    <mergeCell ref="E133:J133"/>
    <mergeCell ref="B126:B129"/>
    <mergeCell ref="A116:A119"/>
    <mergeCell ref="E116:P116"/>
    <mergeCell ref="B117:B118"/>
    <mergeCell ref="C117:C118"/>
    <mergeCell ref="E118:J118"/>
    <mergeCell ref="K118:P118"/>
    <mergeCell ref="E119:J119"/>
    <mergeCell ref="K119:P119"/>
    <mergeCell ref="K111:P111"/>
    <mergeCell ref="E112:J112"/>
    <mergeCell ref="K112:P112"/>
    <mergeCell ref="A113:A115"/>
    <mergeCell ref="E113:J113"/>
    <mergeCell ref="K113:P113"/>
    <mergeCell ref="E114:P114"/>
    <mergeCell ref="E115:J115"/>
    <mergeCell ref="K115:P115"/>
    <mergeCell ref="B107:B108"/>
    <mergeCell ref="C107:C108"/>
    <mergeCell ref="E108:J108"/>
    <mergeCell ref="K108:P108"/>
    <mergeCell ref="A109:A112"/>
    <mergeCell ref="E109:J109"/>
    <mergeCell ref="K109:P109"/>
    <mergeCell ref="E110:J110"/>
    <mergeCell ref="K110:P110"/>
    <mergeCell ref="E111:J111"/>
    <mergeCell ref="A101:A108"/>
    <mergeCell ref="E104:J104"/>
    <mergeCell ref="K104:P104"/>
    <mergeCell ref="B105:B106"/>
    <mergeCell ref="C105:C106"/>
    <mergeCell ref="E106:J106"/>
    <mergeCell ref="K106:P106"/>
    <mergeCell ref="E99:J99"/>
    <mergeCell ref="K99:P99"/>
    <mergeCell ref="E100:P100"/>
    <mergeCell ref="B101:B102"/>
    <mergeCell ref="C101:C102"/>
    <mergeCell ref="E102:J102"/>
    <mergeCell ref="K102:P102"/>
    <mergeCell ref="B103:B104"/>
    <mergeCell ref="C103:C104"/>
    <mergeCell ref="E93:J93"/>
    <mergeCell ref="K93:P93"/>
    <mergeCell ref="E95:J95"/>
    <mergeCell ref="K95:P95"/>
    <mergeCell ref="E97:J97"/>
    <mergeCell ref="K97:P97"/>
    <mergeCell ref="E89:G89"/>
    <mergeCell ref="H89:J89"/>
    <mergeCell ref="K89:M89"/>
    <mergeCell ref="N89:P89"/>
    <mergeCell ref="E90:J90"/>
    <mergeCell ref="K90:P90"/>
    <mergeCell ref="E82:P82"/>
    <mergeCell ref="D83:D85"/>
    <mergeCell ref="E83:J83"/>
    <mergeCell ref="K83:P83"/>
    <mergeCell ref="E84:J84"/>
    <mergeCell ref="K84:P84"/>
    <mergeCell ref="E85:J85"/>
    <mergeCell ref="K85:P85"/>
    <mergeCell ref="E91:P91"/>
    <mergeCell ref="K78:P78"/>
    <mergeCell ref="E79:J79"/>
    <mergeCell ref="K79:P79"/>
    <mergeCell ref="E80:J80"/>
    <mergeCell ref="K80:P80"/>
    <mergeCell ref="E81:J81"/>
    <mergeCell ref="K81:P81"/>
    <mergeCell ref="A74:A100"/>
    <mergeCell ref="E74:J74"/>
    <mergeCell ref="K74:P74"/>
    <mergeCell ref="E75:J75"/>
    <mergeCell ref="K75:P75"/>
    <mergeCell ref="E76:P76"/>
    <mergeCell ref="D77:D81"/>
    <mergeCell ref="E77:J77"/>
    <mergeCell ref="K77:P77"/>
    <mergeCell ref="E78:J78"/>
    <mergeCell ref="E86:P86"/>
    <mergeCell ref="E87:G87"/>
    <mergeCell ref="H87:J87"/>
    <mergeCell ref="K87:M87"/>
    <mergeCell ref="N87:P87"/>
    <mergeCell ref="E88:J88"/>
    <mergeCell ref="K88:P88"/>
    <mergeCell ref="A70:A73"/>
    <mergeCell ref="E70:J70"/>
    <mergeCell ref="K70:P70"/>
    <mergeCell ref="E71:J71"/>
    <mergeCell ref="K71:P71"/>
    <mergeCell ref="E72:J72"/>
    <mergeCell ref="K72:P72"/>
    <mergeCell ref="E73:J73"/>
    <mergeCell ref="K73:P73"/>
    <mergeCell ref="E55:J55"/>
    <mergeCell ref="K55:P55"/>
    <mergeCell ref="A56:A69"/>
    <mergeCell ref="E57:J57"/>
    <mergeCell ref="K57:P57"/>
    <mergeCell ref="E59:J59"/>
    <mergeCell ref="K59:P59"/>
    <mergeCell ref="E61:J61"/>
    <mergeCell ref="K61:P61"/>
    <mergeCell ref="E62:P62"/>
    <mergeCell ref="E68:G68"/>
    <mergeCell ref="H68:J68"/>
    <mergeCell ref="K68:M68"/>
    <mergeCell ref="N68:P68"/>
    <mergeCell ref="B69:D69"/>
    <mergeCell ref="E69:J69"/>
    <mergeCell ref="K69:P69"/>
    <mergeCell ref="E63:P63"/>
    <mergeCell ref="E64:P64"/>
    <mergeCell ref="E65:P65"/>
    <mergeCell ref="E66:J66"/>
    <mergeCell ref="K66:P66"/>
    <mergeCell ref="E67:P67"/>
    <mergeCell ref="E40:J40"/>
    <mergeCell ref="K40:P40"/>
    <mergeCell ref="E41:J41"/>
    <mergeCell ref="K41:P41"/>
    <mergeCell ref="A42:A54"/>
    <mergeCell ref="E42:P42"/>
    <mergeCell ref="E43:P43"/>
    <mergeCell ref="E44:J44"/>
    <mergeCell ref="K44:P44"/>
    <mergeCell ref="E45:J45"/>
    <mergeCell ref="A28:A41"/>
    <mergeCell ref="E51:P51"/>
    <mergeCell ref="E52:P52"/>
    <mergeCell ref="E53:P53"/>
    <mergeCell ref="E54:G54"/>
    <mergeCell ref="H54:J54"/>
    <mergeCell ref="K54:M54"/>
    <mergeCell ref="N54:P54"/>
    <mergeCell ref="K45:P45"/>
    <mergeCell ref="E46:J46"/>
    <mergeCell ref="K46:P46"/>
    <mergeCell ref="E48:P48"/>
    <mergeCell ref="E49:P49"/>
    <mergeCell ref="E50:P50"/>
    <mergeCell ref="E37:J37"/>
    <mergeCell ref="K37:P37"/>
    <mergeCell ref="E38:J38"/>
    <mergeCell ref="K38:P38"/>
    <mergeCell ref="E39:J39"/>
    <mergeCell ref="K39:P39"/>
    <mergeCell ref="E33:J33"/>
    <mergeCell ref="K33:P33"/>
    <mergeCell ref="E34:J34"/>
    <mergeCell ref="K34:P34"/>
    <mergeCell ref="E35:P35"/>
    <mergeCell ref="E36:P36"/>
    <mergeCell ref="E30:J30"/>
    <mergeCell ref="K30:P30"/>
    <mergeCell ref="E31:J31"/>
    <mergeCell ref="K31:P31"/>
    <mergeCell ref="E32:J32"/>
    <mergeCell ref="K32:P32"/>
    <mergeCell ref="K24:P24"/>
    <mergeCell ref="E25:P25"/>
    <mergeCell ref="E26:P26"/>
    <mergeCell ref="E27:J27"/>
    <mergeCell ref="K27:P27"/>
    <mergeCell ref="E28:J28"/>
    <mergeCell ref="K28:P28"/>
    <mergeCell ref="E29:J29"/>
    <mergeCell ref="K29:P29"/>
    <mergeCell ref="A19:A27"/>
    <mergeCell ref="E19:J19"/>
    <mergeCell ref="K19:P19"/>
    <mergeCell ref="E20:P20"/>
    <mergeCell ref="E21:P21"/>
    <mergeCell ref="B22:B23"/>
    <mergeCell ref="C22:C23"/>
    <mergeCell ref="E22:P22"/>
    <mergeCell ref="E23:P23"/>
    <mergeCell ref="E24:J24"/>
    <mergeCell ref="K15:P15"/>
    <mergeCell ref="A16:A18"/>
    <mergeCell ref="E16:J16"/>
    <mergeCell ref="K16:P16"/>
    <mergeCell ref="B18:D18"/>
    <mergeCell ref="E18:J18"/>
    <mergeCell ref="K18:P18"/>
    <mergeCell ref="A11:A15"/>
    <mergeCell ref="E11:J11"/>
    <mergeCell ref="K11:P11"/>
    <mergeCell ref="E12:J12"/>
    <mergeCell ref="K12:P12"/>
    <mergeCell ref="E13:J13"/>
    <mergeCell ref="K13:P13"/>
    <mergeCell ref="E14:J14"/>
    <mergeCell ref="K14:P14"/>
    <mergeCell ref="E15:J15"/>
    <mergeCell ref="A7:A10"/>
    <mergeCell ref="E7:J7"/>
    <mergeCell ref="K7:P7"/>
    <mergeCell ref="E8:J8"/>
    <mergeCell ref="K8:P8"/>
    <mergeCell ref="E9:J9"/>
    <mergeCell ref="K9:P9"/>
    <mergeCell ref="E10:J10"/>
    <mergeCell ref="K10:P10"/>
    <mergeCell ref="T2:T6"/>
    <mergeCell ref="U2:U6"/>
    <mergeCell ref="V2:V6"/>
    <mergeCell ref="E3:P3"/>
    <mergeCell ref="D4:D6"/>
    <mergeCell ref="E4:J4"/>
    <mergeCell ref="K4:P4"/>
    <mergeCell ref="E5:G5"/>
    <mergeCell ref="H5:J5"/>
    <mergeCell ref="A2:A6"/>
    <mergeCell ref="B2:B6"/>
    <mergeCell ref="C2:C6"/>
    <mergeCell ref="E2:P2"/>
    <mergeCell ref="Q2:Q6"/>
    <mergeCell ref="R2:R6"/>
    <mergeCell ref="K5:M5"/>
    <mergeCell ref="N5:P5"/>
    <mergeCell ref="S2:S6"/>
  </mergeCells>
  <dataValidations count="2">
    <dataValidation type="list" allowBlank="1" showInputMessage="1" showErrorMessage="1" sqref="R51:R53">
      <formula1>#REF!</formula1>
    </dataValidation>
    <dataValidation type="list" allowBlank="1" showInputMessage="1" showErrorMessage="1" sqref="R65517:R65669 JN65517:JN65669 TJ65517:TJ65669 ADF65517:ADF65669 ANB65517:ANB65669 AWX65517:AWX65669 BGT65517:BGT65669 BQP65517:BQP65669 CAL65517:CAL65669 CKH65517:CKH65669 CUD65517:CUD65669 DDZ65517:DDZ65669 DNV65517:DNV65669 DXR65517:DXR65669 EHN65517:EHN65669 ERJ65517:ERJ65669 FBF65517:FBF65669 FLB65517:FLB65669 FUX65517:FUX65669 GET65517:GET65669 GOP65517:GOP65669 GYL65517:GYL65669 HIH65517:HIH65669 HSD65517:HSD65669 IBZ65517:IBZ65669 ILV65517:ILV65669 IVR65517:IVR65669 JFN65517:JFN65669 JPJ65517:JPJ65669 JZF65517:JZF65669 KJB65517:KJB65669 KSX65517:KSX65669 LCT65517:LCT65669 LMP65517:LMP65669 LWL65517:LWL65669 MGH65517:MGH65669 MQD65517:MQD65669 MZZ65517:MZZ65669 NJV65517:NJV65669 NTR65517:NTR65669 ODN65517:ODN65669 ONJ65517:ONJ65669 OXF65517:OXF65669 PHB65517:PHB65669 PQX65517:PQX65669 QAT65517:QAT65669 QKP65517:QKP65669 QUL65517:QUL65669 REH65517:REH65669 ROD65517:ROD65669 RXZ65517:RXZ65669 SHV65517:SHV65669 SRR65517:SRR65669 TBN65517:TBN65669 TLJ65517:TLJ65669 TVF65517:TVF65669 UFB65517:UFB65669 UOX65517:UOX65669 UYT65517:UYT65669 VIP65517:VIP65669 VSL65517:VSL65669 WCH65517:WCH65669 WMD65517:WMD65669 WVZ65517:WVZ65669 R131053:R131205 JN131053:JN131205 TJ131053:TJ131205 ADF131053:ADF131205 ANB131053:ANB131205 AWX131053:AWX131205 BGT131053:BGT131205 BQP131053:BQP131205 CAL131053:CAL131205 CKH131053:CKH131205 CUD131053:CUD131205 DDZ131053:DDZ131205 DNV131053:DNV131205 DXR131053:DXR131205 EHN131053:EHN131205 ERJ131053:ERJ131205 FBF131053:FBF131205 FLB131053:FLB131205 FUX131053:FUX131205 GET131053:GET131205 GOP131053:GOP131205 GYL131053:GYL131205 HIH131053:HIH131205 HSD131053:HSD131205 IBZ131053:IBZ131205 ILV131053:ILV131205 IVR131053:IVR131205 JFN131053:JFN131205 JPJ131053:JPJ131205 JZF131053:JZF131205 KJB131053:KJB131205 KSX131053:KSX131205 LCT131053:LCT131205 LMP131053:LMP131205 LWL131053:LWL131205 MGH131053:MGH131205 MQD131053:MQD131205 MZZ131053:MZZ131205 NJV131053:NJV131205 NTR131053:NTR131205 ODN131053:ODN131205 ONJ131053:ONJ131205 OXF131053:OXF131205 PHB131053:PHB131205 PQX131053:PQX131205 QAT131053:QAT131205 QKP131053:QKP131205 QUL131053:QUL131205 REH131053:REH131205 ROD131053:ROD131205 RXZ131053:RXZ131205 SHV131053:SHV131205 SRR131053:SRR131205 TBN131053:TBN131205 TLJ131053:TLJ131205 TVF131053:TVF131205 UFB131053:UFB131205 UOX131053:UOX131205 UYT131053:UYT131205 VIP131053:VIP131205 VSL131053:VSL131205 WCH131053:WCH131205 WMD131053:WMD131205 WVZ131053:WVZ131205 R196589:R196741 JN196589:JN196741 TJ196589:TJ196741 ADF196589:ADF196741 ANB196589:ANB196741 AWX196589:AWX196741 BGT196589:BGT196741 BQP196589:BQP196741 CAL196589:CAL196741 CKH196589:CKH196741 CUD196589:CUD196741 DDZ196589:DDZ196741 DNV196589:DNV196741 DXR196589:DXR196741 EHN196589:EHN196741 ERJ196589:ERJ196741 FBF196589:FBF196741 FLB196589:FLB196741 FUX196589:FUX196741 GET196589:GET196741 GOP196589:GOP196741 GYL196589:GYL196741 HIH196589:HIH196741 HSD196589:HSD196741 IBZ196589:IBZ196741 ILV196589:ILV196741 IVR196589:IVR196741 JFN196589:JFN196741 JPJ196589:JPJ196741 JZF196589:JZF196741 KJB196589:KJB196741 KSX196589:KSX196741 LCT196589:LCT196741 LMP196589:LMP196741 LWL196589:LWL196741 MGH196589:MGH196741 MQD196589:MQD196741 MZZ196589:MZZ196741 NJV196589:NJV196741 NTR196589:NTR196741 ODN196589:ODN196741 ONJ196589:ONJ196741 OXF196589:OXF196741 PHB196589:PHB196741 PQX196589:PQX196741 QAT196589:QAT196741 QKP196589:QKP196741 QUL196589:QUL196741 REH196589:REH196741 ROD196589:ROD196741 RXZ196589:RXZ196741 SHV196589:SHV196741 SRR196589:SRR196741 TBN196589:TBN196741 TLJ196589:TLJ196741 TVF196589:TVF196741 UFB196589:UFB196741 UOX196589:UOX196741 UYT196589:UYT196741 VIP196589:VIP196741 VSL196589:VSL196741 WCH196589:WCH196741 WMD196589:WMD196741 WVZ196589:WVZ196741 R262125:R262277 JN262125:JN262277 TJ262125:TJ262277 ADF262125:ADF262277 ANB262125:ANB262277 AWX262125:AWX262277 BGT262125:BGT262277 BQP262125:BQP262277 CAL262125:CAL262277 CKH262125:CKH262277 CUD262125:CUD262277 DDZ262125:DDZ262277 DNV262125:DNV262277 DXR262125:DXR262277 EHN262125:EHN262277 ERJ262125:ERJ262277 FBF262125:FBF262277 FLB262125:FLB262277 FUX262125:FUX262277 GET262125:GET262277 GOP262125:GOP262277 GYL262125:GYL262277 HIH262125:HIH262277 HSD262125:HSD262277 IBZ262125:IBZ262277 ILV262125:ILV262277 IVR262125:IVR262277 JFN262125:JFN262277 JPJ262125:JPJ262277 JZF262125:JZF262277 KJB262125:KJB262277 KSX262125:KSX262277 LCT262125:LCT262277 LMP262125:LMP262277 LWL262125:LWL262277 MGH262125:MGH262277 MQD262125:MQD262277 MZZ262125:MZZ262277 NJV262125:NJV262277 NTR262125:NTR262277 ODN262125:ODN262277 ONJ262125:ONJ262277 OXF262125:OXF262277 PHB262125:PHB262277 PQX262125:PQX262277 QAT262125:QAT262277 QKP262125:QKP262277 QUL262125:QUL262277 REH262125:REH262277 ROD262125:ROD262277 RXZ262125:RXZ262277 SHV262125:SHV262277 SRR262125:SRR262277 TBN262125:TBN262277 TLJ262125:TLJ262277 TVF262125:TVF262277 UFB262125:UFB262277 UOX262125:UOX262277 UYT262125:UYT262277 VIP262125:VIP262277 VSL262125:VSL262277 WCH262125:WCH262277 WMD262125:WMD262277 WVZ262125:WVZ262277 R327661:R327813 JN327661:JN327813 TJ327661:TJ327813 ADF327661:ADF327813 ANB327661:ANB327813 AWX327661:AWX327813 BGT327661:BGT327813 BQP327661:BQP327813 CAL327661:CAL327813 CKH327661:CKH327813 CUD327661:CUD327813 DDZ327661:DDZ327813 DNV327661:DNV327813 DXR327661:DXR327813 EHN327661:EHN327813 ERJ327661:ERJ327813 FBF327661:FBF327813 FLB327661:FLB327813 FUX327661:FUX327813 GET327661:GET327813 GOP327661:GOP327813 GYL327661:GYL327813 HIH327661:HIH327813 HSD327661:HSD327813 IBZ327661:IBZ327813 ILV327661:ILV327813 IVR327661:IVR327813 JFN327661:JFN327813 JPJ327661:JPJ327813 JZF327661:JZF327813 KJB327661:KJB327813 KSX327661:KSX327813 LCT327661:LCT327813 LMP327661:LMP327813 LWL327661:LWL327813 MGH327661:MGH327813 MQD327661:MQD327813 MZZ327661:MZZ327813 NJV327661:NJV327813 NTR327661:NTR327813 ODN327661:ODN327813 ONJ327661:ONJ327813 OXF327661:OXF327813 PHB327661:PHB327813 PQX327661:PQX327813 QAT327661:QAT327813 QKP327661:QKP327813 QUL327661:QUL327813 REH327661:REH327813 ROD327661:ROD327813 RXZ327661:RXZ327813 SHV327661:SHV327813 SRR327661:SRR327813 TBN327661:TBN327813 TLJ327661:TLJ327813 TVF327661:TVF327813 UFB327661:UFB327813 UOX327661:UOX327813 UYT327661:UYT327813 VIP327661:VIP327813 VSL327661:VSL327813 WCH327661:WCH327813 WMD327661:WMD327813 WVZ327661:WVZ327813 R393197:R393349 JN393197:JN393349 TJ393197:TJ393349 ADF393197:ADF393349 ANB393197:ANB393349 AWX393197:AWX393349 BGT393197:BGT393349 BQP393197:BQP393349 CAL393197:CAL393349 CKH393197:CKH393349 CUD393197:CUD393349 DDZ393197:DDZ393349 DNV393197:DNV393349 DXR393197:DXR393349 EHN393197:EHN393349 ERJ393197:ERJ393349 FBF393197:FBF393349 FLB393197:FLB393349 FUX393197:FUX393349 GET393197:GET393349 GOP393197:GOP393349 GYL393197:GYL393349 HIH393197:HIH393349 HSD393197:HSD393349 IBZ393197:IBZ393349 ILV393197:ILV393349 IVR393197:IVR393349 JFN393197:JFN393349 JPJ393197:JPJ393349 JZF393197:JZF393349 KJB393197:KJB393349 KSX393197:KSX393349 LCT393197:LCT393349 LMP393197:LMP393349 LWL393197:LWL393349 MGH393197:MGH393349 MQD393197:MQD393349 MZZ393197:MZZ393349 NJV393197:NJV393349 NTR393197:NTR393349 ODN393197:ODN393349 ONJ393197:ONJ393349 OXF393197:OXF393349 PHB393197:PHB393349 PQX393197:PQX393349 QAT393197:QAT393349 QKP393197:QKP393349 QUL393197:QUL393349 REH393197:REH393349 ROD393197:ROD393349 RXZ393197:RXZ393349 SHV393197:SHV393349 SRR393197:SRR393349 TBN393197:TBN393349 TLJ393197:TLJ393349 TVF393197:TVF393349 UFB393197:UFB393349 UOX393197:UOX393349 UYT393197:UYT393349 VIP393197:VIP393349 VSL393197:VSL393349 WCH393197:WCH393349 WMD393197:WMD393349 WVZ393197:WVZ393349 R458733:R458885 JN458733:JN458885 TJ458733:TJ458885 ADF458733:ADF458885 ANB458733:ANB458885 AWX458733:AWX458885 BGT458733:BGT458885 BQP458733:BQP458885 CAL458733:CAL458885 CKH458733:CKH458885 CUD458733:CUD458885 DDZ458733:DDZ458885 DNV458733:DNV458885 DXR458733:DXR458885 EHN458733:EHN458885 ERJ458733:ERJ458885 FBF458733:FBF458885 FLB458733:FLB458885 FUX458733:FUX458885 GET458733:GET458885 GOP458733:GOP458885 GYL458733:GYL458885 HIH458733:HIH458885 HSD458733:HSD458885 IBZ458733:IBZ458885 ILV458733:ILV458885 IVR458733:IVR458885 JFN458733:JFN458885 JPJ458733:JPJ458885 JZF458733:JZF458885 KJB458733:KJB458885 KSX458733:KSX458885 LCT458733:LCT458885 LMP458733:LMP458885 LWL458733:LWL458885 MGH458733:MGH458885 MQD458733:MQD458885 MZZ458733:MZZ458885 NJV458733:NJV458885 NTR458733:NTR458885 ODN458733:ODN458885 ONJ458733:ONJ458885 OXF458733:OXF458885 PHB458733:PHB458885 PQX458733:PQX458885 QAT458733:QAT458885 QKP458733:QKP458885 QUL458733:QUL458885 REH458733:REH458885 ROD458733:ROD458885 RXZ458733:RXZ458885 SHV458733:SHV458885 SRR458733:SRR458885 TBN458733:TBN458885 TLJ458733:TLJ458885 TVF458733:TVF458885 UFB458733:UFB458885 UOX458733:UOX458885 UYT458733:UYT458885 VIP458733:VIP458885 VSL458733:VSL458885 WCH458733:WCH458885 WMD458733:WMD458885 WVZ458733:WVZ458885 R524269:R524421 JN524269:JN524421 TJ524269:TJ524421 ADF524269:ADF524421 ANB524269:ANB524421 AWX524269:AWX524421 BGT524269:BGT524421 BQP524269:BQP524421 CAL524269:CAL524421 CKH524269:CKH524421 CUD524269:CUD524421 DDZ524269:DDZ524421 DNV524269:DNV524421 DXR524269:DXR524421 EHN524269:EHN524421 ERJ524269:ERJ524421 FBF524269:FBF524421 FLB524269:FLB524421 FUX524269:FUX524421 GET524269:GET524421 GOP524269:GOP524421 GYL524269:GYL524421 HIH524269:HIH524421 HSD524269:HSD524421 IBZ524269:IBZ524421 ILV524269:ILV524421 IVR524269:IVR524421 JFN524269:JFN524421 JPJ524269:JPJ524421 JZF524269:JZF524421 KJB524269:KJB524421 KSX524269:KSX524421 LCT524269:LCT524421 LMP524269:LMP524421 LWL524269:LWL524421 MGH524269:MGH524421 MQD524269:MQD524421 MZZ524269:MZZ524421 NJV524269:NJV524421 NTR524269:NTR524421 ODN524269:ODN524421 ONJ524269:ONJ524421 OXF524269:OXF524421 PHB524269:PHB524421 PQX524269:PQX524421 QAT524269:QAT524421 QKP524269:QKP524421 QUL524269:QUL524421 REH524269:REH524421 ROD524269:ROD524421 RXZ524269:RXZ524421 SHV524269:SHV524421 SRR524269:SRR524421 TBN524269:TBN524421 TLJ524269:TLJ524421 TVF524269:TVF524421 UFB524269:UFB524421 UOX524269:UOX524421 UYT524269:UYT524421 VIP524269:VIP524421 VSL524269:VSL524421 WCH524269:WCH524421 WMD524269:WMD524421 WVZ524269:WVZ524421 R589805:R589957 JN589805:JN589957 TJ589805:TJ589957 ADF589805:ADF589957 ANB589805:ANB589957 AWX589805:AWX589957 BGT589805:BGT589957 BQP589805:BQP589957 CAL589805:CAL589957 CKH589805:CKH589957 CUD589805:CUD589957 DDZ589805:DDZ589957 DNV589805:DNV589957 DXR589805:DXR589957 EHN589805:EHN589957 ERJ589805:ERJ589957 FBF589805:FBF589957 FLB589805:FLB589957 FUX589805:FUX589957 GET589805:GET589957 GOP589805:GOP589957 GYL589805:GYL589957 HIH589805:HIH589957 HSD589805:HSD589957 IBZ589805:IBZ589957 ILV589805:ILV589957 IVR589805:IVR589957 JFN589805:JFN589957 JPJ589805:JPJ589957 JZF589805:JZF589957 KJB589805:KJB589957 KSX589805:KSX589957 LCT589805:LCT589957 LMP589805:LMP589957 LWL589805:LWL589957 MGH589805:MGH589957 MQD589805:MQD589957 MZZ589805:MZZ589957 NJV589805:NJV589957 NTR589805:NTR589957 ODN589805:ODN589957 ONJ589805:ONJ589957 OXF589805:OXF589957 PHB589805:PHB589957 PQX589805:PQX589957 QAT589805:QAT589957 QKP589805:QKP589957 QUL589805:QUL589957 REH589805:REH589957 ROD589805:ROD589957 RXZ589805:RXZ589957 SHV589805:SHV589957 SRR589805:SRR589957 TBN589805:TBN589957 TLJ589805:TLJ589957 TVF589805:TVF589957 UFB589805:UFB589957 UOX589805:UOX589957 UYT589805:UYT589957 VIP589805:VIP589957 VSL589805:VSL589957 WCH589805:WCH589957 WMD589805:WMD589957 WVZ589805:WVZ589957 R655341:R655493 JN655341:JN655493 TJ655341:TJ655493 ADF655341:ADF655493 ANB655341:ANB655493 AWX655341:AWX655493 BGT655341:BGT655493 BQP655341:BQP655493 CAL655341:CAL655493 CKH655341:CKH655493 CUD655341:CUD655493 DDZ655341:DDZ655493 DNV655341:DNV655493 DXR655341:DXR655493 EHN655341:EHN655493 ERJ655341:ERJ655493 FBF655341:FBF655493 FLB655341:FLB655493 FUX655341:FUX655493 GET655341:GET655493 GOP655341:GOP655493 GYL655341:GYL655493 HIH655341:HIH655493 HSD655341:HSD655493 IBZ655341:IBZ655493 ILV655341:ILV655493 IVR655341:IVR655493 JFN655341:JFN655493 JPJ655341:JPJ655493 JZF655341:JZF655493 KJB655341:KJB655493 KSX655341:KSX655493 LCT655341:LCT655493 LMP655341:LMP655493 LWL655341:LWL655493 MGH655341:MGH655493 MQD655341:MQD655493 MZZ655341:MZZ655493 NJV655341:NJV655493 NTR655341:NTR655493 ODN655341:ODN655493 ONJ655341:ONJ655493 OXF655341:OXF655493 PHB655341:PHB655493 PQX655341:PQX655493 QAT655341:QAT655493 QKP655341:QKP655493 QUL655341:QUL655493 REH655341:REH655493 ROD655341:ROD655493 RXZ655341:RXZ655493 SHV655341:SHV655493 SRR655341:SRR655493 TBN655341:TBN655493 TLJ655341:TLJ655493 TVF655341:TVF655493 UFB655341:UFB655493 UOX655341:UOX655493 UYT655341:UYT655493 VIP655341:VIP655493 VSL655341:VSL655493 WCH655341:WCH655493 WMD655341:WMD655493 WVZ655341:WVZ655493 R720877:R721029 JN720877:JN721029 TJ720877:TJ721029 ADF720877:ADF721029 ANB720877:ANB721029 AWX720877:AWX721029 BGT720877:BGT721029 BQP720877:BQP721029 CAL720877:CAL721029 CKH720877:CKH721029 CUD720877:CUD721029 DDZ720877:DDZ721029 DNV720877:DNV721029 DXR720877:DXR721029 EHN720877:EHN721029 ERJ720877:ERJ721029 FBF720877:FBF721029 FLB720877:FLB721029 FUX720877:FUX721029 GET720877:GET721029 GOP720877:GOP721029 GYL720877:GYL721029 HIH720877:HIH721029 HSD720877:HSD721029 IBZ720877:IBZ721029 ILV720877:ILV721029 IVR720877:IVR721029 JFN720877:JFN721029 JPJ720877:JPJ721029 JZF720877:JZF721029 KJB720877:KJB721029 KSX720877:KSX721029 LCT720877:LCT721029 LMP720877:LMP721029 LWL720877:LWL721029 MGH720877:MGH721029 MQD720877:MQD721029 MZZ720877:MZZ721029 NJV720877:NJV721029 NTR720877:NTR721029 ODN720877:ODN721029 ONJ720877:ONJ721029 OXF720877:OXF721029 PHB720877:PHB721029 PQX720877:PQX721029 QAT720877:QAT721029 QKP720877:QKP721029 QUL720877:QUL721029 REH720877:REH721029 ROD720877:ROD721029 RXZ720877:RXZ721029 SHV720877:SHV721029 SRR720877:SRR721029 TBN720877:TBN721029 TLJ720877:TLJ721029 TVF720877:TVF721029 UFB720877:UFB721029 UOX720877:UOX721029 UYT720877:UYT721029 VIP720877:VIP721029 VSL720877:VSL721029 WCH720877:WCH721029 WMD720877:WMD721029 WVZ720877:WVZ721029 R786413:R786565 JN786413:JN786565 TJ786413:TJ786565 ADF786413:ADF786565 ANB786413:ANB786565 AWX786413:AWX786565 BGT786413:BGT786565 BQP786413:BQP786565 CAL786413:CAL786565 CKH786413:CKH786565 CUD786413:CUD786565 DDZ786413:DDZ786565 DNV786413:DNV786565 DXR786413:DXR786565 EHN786413:EHN786565 ERJ786413:ERJ786565 FBF786413:FBF786565 FLB786413:FLB786565 FUX786413:FUX786565 GET786413:GET786565 GOP786413:GOP786565 GYL786413:GYL786565 HIH786413:HIH786565 HSD786413:HSD786565 IBZ786413:IBZ786565 ILV786413:ILV786565 IVR786413:IVR786565 JFN786413:JFN786565 JPJ786413:JPJ786565 JZF786413:JZF786565 KJB786413:KJB786565 KSX786413:KSX786565 LCT786413:LCT786565 LMP786413:LMP786565 LWL786413:LWL786565 MGH786413:MGH786565 MQD786413:MQD786565 MZZ786413:MZZ786565 NJV786413:NJV786565 NTR786413:NTR786565 ODN786413:ODN786565 ONJ786413:ONJ786565 OXF786413:OXF786565 PHB786413:PHB786565 PQX786413:PQX786565 QAT786413:QAT786565 QKP786413:QKP786565 QUL786413:QUL786565 REH786413:REH786565 ROD786413:ROD786565 RXZ786413:RXZ786565 SHV786413:SHV786565 SRR786413:SRR786565 TBN786413:TBN786565 TLJ786413:TLJ786565 TVF786413:TVF786565 UFB786413:UFB786565 UOX786413:UOX786565 UYT786413:UYT786565 VIP786413:VIP786565 VSL786413:VSL786565 WCH786413:WCH786565 WMD786413:WMD786565 WVZ786413:WVZ786565 R851949:R852101 JN851949:JN852101 TJ851949:TJ852101 ADF851949:ADF852101 ANB851949:ANB852101 AWX851949:AWX852101 BGT851949:BGT852101 BQP851949:BQP852101 CAL851949:CAL852101 CKH851949:CKH852101 CUD851949:CUD852101 DDZ851949:DDZ852101 DNV851949:DNV852101 DXR851949:DXR852101 EHN851949:EHN852101 ERJ851949:ERJ852101 FBF851949:FBF852101 FLB851949:FLB852101 FUX851949:FUX852101 GET851949:GET852101 GOP851949:GOP852101 GYL851949:GYL852101 HIH851949:HIH852101 HSD851949:HSD852101 IBZ851949:IBZ852101 ILV851949:ILV852101 IVR851949:IVR852101 JFN851949:JFN852101 JPJ851949:JPJ852101 JZF851949:JZF852101 KJB851949:KJB852101 KSX851949:KSX852101 LCT851949:LCT852101 LMP851949:LMP852101 LWL851949:LWL852101 MGH851949:MGH852101 MQD851949:MQD852101 MZZ851949:MZZ852101 NJV851949:NJV852101 NTR851949:NTR852101 ODN851949:ODN852101 ONJ851949:ONJ852101 OXF851949:OXF852101 PHB851949:PHB852101 PQX851949:PQX852101 QAT851949:QAT852101 QKP851949:QKP852101 QUL851949:QUL852101 REH851949:REH852101 ROD851949:ROD852101 RXZ851949:RXZ852101 SHV851949:SHV852101 SRR851949:SRR852101 TBN851949:TBN852101 TLJ851949:TLJ852101 TVF851949:TVF852101 UFB851949:UFB852101 UOX851949:UOX852101 UYT851949:UYT852101 VIP851949:VIP852101 VSL851949:VSL852101 WCH851949:WCH852101 WMD851949:WMD852101 WVZ851949:WVZ852101 R917485:R917637 JN917485:JN917637 TJ917485:TJ917637 ADF917485:ADF917637 ANB917485:ANB917637 AWX917485:AWX917637 BGT917485:BGT917637 BQP917485:BQP917637 CAL917485:CAL917637 CKH917485:CKH917637 CUD917485:CUD917637 DDZ917485:DDZ917637 DNV917485:DNV917637 DXR917485:DXR917637 EHN917485:EHN917637 ERJ917485:ERJ917637 FBF917485:FBF917637 FLB917485:FLB917637 FUX917485:FUX917637 GET917485:GET917637 GOP917485:GOP917637 GYL917485:GYL917637 HIH917485:HIH917637 HSD917485:HSD917637 IBZ917485:IBZ917637 ILV917485:ILV917637 IVR917485:IVR917637 JFN917485:JFN917637 JPJ917485:JPJ917637 JZF917485:JZF917637 KJB917485:KJB917637 KSX917485:KSX917637 LCT917485:LCT917637 LMP917485:LMP917637 LWL917485:LWL917637 MGH917485:MGH917637 MQD917485:MQD917637 MZZ917485:MZZ917637 NJV917485:NJV917637 NTR917485:NTR917637 ODN917485:ODN917637 ONJ917485:ONJ917637 OXF917485:OXF917637 PHB917485:PHB917637 PQX917485:PQX917637 QAT917485:QAT917637 QKP917485:QKP917637 QUL917485:QUL917637 REH917485:REH917637 ROD917485:ROD917637 RXZ917485:RXZ917637 SHV917485:SHV917637 SRR917485:SRR917637 TBN917485:TBN917637 TLJ917485:TLJ917637 TVF917485:TVF917637 UFB917485:UFB917637 UOX917485:UOX917637 UYT917485:UYT917637 VIP917485:VIP917637 VSL917485:VSL917637 WCH917485:WCH917637 WMD917485:WMD917637 WVZ917485:WVZ917637 R983021:R983173 JN983021:JN983173 TJ983021:TJ983173 ADF983021:ADF983173 ANB983021:ANB983173 AWX983021:AWX983173 BGT983021:BGT983173 BQP983021:BQP983173 CAL983021:CAL983173 CKH983021:CKH983173 CUD983021:CUD983173 DDZ983021:DDZ983173 DNV983021:DNV983173 DXR983021:DXR983173 EHN983021:EHN983173 ERJ983021:ERJ983173 FBF983021:FBF983173 FLB983021:FLB983173 FUX983021:FUX983173 GET983021:GET983173 GOP983021:GOP983173 GYL983021:GYL983173 HIH983021:HIH983173 HSD983021:HSD983173 IBZ983021:IBZ983173 ILV983021:ILV983173 IVR983021:IVR983173 JFN983021:JFN983173 JPJ983021:JPJ983173 JZF983021:JZF983173 KJB983021:KJB983173 KSX983021:KSX983173 LCT983021:LCT983173 LMP983021:LMP983173 LWL983021:LWL983173 MGH983021:MGH983173 MQD983021:MQD983173 MZZ983021:MZZ983173 NJV983021:NJV983173 NTR983021:NTR983173 ODN983021:ODN983173 ONJ983021:ONJ983173 OXF983021:OXF983173 PHB983021:PHB983173 PQX983021:PQX983173 QAT983021:QAT983173 QKP983021:QKP983173 QUL983021:QUL983173 REH983021:REH983173 ROD983021:ROD983173 RXZ983021:RXZ983173 SHV983021:SHV983173 SRR983021:SRR983173 TBN983021:TBN983173 TLJ983021:TLJ983173 TVF983021:TVF983173 UFB983021:UFB983173 UOX983021:UOX983173 UYT983021:UYT983173 VIP983021:VIP983173 VSL983021:VSL983173 WCH983021:WCH983173 WMD983021:WMD983173 WVZ983021:WVZ983173 R7:R19 R120:R146 WVZ120:WVZ146 WMD120:WMD146 WCH120:WCH146 VSL120:VSL146 VIP120:VIP146 UYT120:UYT146 UOX120:UOX146 UFB120:UFB146 TVF120:TVF146 TLJ120:TLJ146 TBN120:TBN146 SRR120:SRR146 SHV120:SHV146 RXZ120:RXZ146 ROD120:ROD146 REH120:REH146 QUL120:QUL146 QKP120:QKP146 QAT120:QAT146 PQX120:PQX146 PHB120:PHB146 OXF120:OXF146 ONJ120:ONJ146 ODN120:ODN146 NTR120:NTR146 NJV120:NJV146 MZZ120:MZZ146 MQD120:MQD146 MGH120:MGH146 LWL120:LWL146 LMP120:LMP146 LCT120:LCT146 KSX120:KSX146 KJB120:KJB146 JZF120:JZF146 JPJ120:JPJ146 JFN120:JFN146 IVR120:IVR146 ILV120:ILV146 IBZ120:IBZ146 HSD120:HSD146 HIH120:HIH146 GYL120:GYL146 GOP120:GOP146 GET120:GET146 FUX120:FUX146 FLB120:FLB146 FBF120:FBF146 ERJ120:ERJ146 EHN120:EHN146 DXR120:DXR146 DNV120:DNV146 DDZ120:DDZ146 CUD120:CUD146 CKH120:CKH146 CAL120:CAL146 BQP120:BQP146 BGT120:BGT146 AWX120:AWX146 ANB120:ANB146 ADF120:ADF146 TJ120:TJ146 JN120:JN146 WVZ7:WVZ117 WMD7:WMD117 WCH7:WCH117 VSL7:VSL117 VIP7:VIP117 UYT7:UYT117 UOX7:UOX117 UFB7:UFB117 TVF7:TVF117 TLJ7:TLJ117 TBN7:TBN117 SRR7:SRR117 SHV7:SHV117 RXZ7:RXZ117 ROD7:ROD117 REH7:REH117 QUL7:QUL117 QKP7:QKP117 QAT7:QAT117 PQX7:PQX117 PHB7:PHB117 OXF7:OXF117 ONJ7:ONJ117 ODN7:ODN117 NTR7:NTR117 NJV7:NJV117 MZZ7:MZZ117 MQD7:MQD117 MGH7:MGH117 LWL7:LWL117 LMP7:LMP117 LCT7:LCT117 KSX7:KSX117 KJB7:KJB117 JZF7:JZF117 JPJ7:JPJ117 JFN7:JFN117 IVR7:IVR117 ILV7:ILV117 IBZ7:IBZ117 HSD7:HSD117 HIH7:HIH117 GYL7:GYL117 GOP7:GOP117 GET7:GET117 FUX7:FUX117 FLB7:FLB117 FBF7:FBF117 ERJ7:ERJ117 EHN7:EHN117 DXR7:DXR117 DNV7:DNV117 DDZ7:DDZ117 CUD7:CUD117 CKH7:CKH117 CAL7:CAL117 BQP7:BQP117 BGT7:BGT117 AWX7:AWX117 ANB7:ANB117 ADF7:ADF117 TJ7:TJ117 JN7:JN117 R25:R50 R54:R117">
      <formula1>#REF!</formula1>
    </dataValidation>
  </dataValidations>
  <printOptions horizontalCentered="1"/>
  <pageMargins left="0.78740157480314965" right="0.78740157480314965" top="0.98425196850393704" bottom="0.6692913385826772" header="0.47244094488188981" footer="0"/>
  <pageSetup paperSize="14" scale="26" orientation="landscape" r:id="rId1"/>
  <headerFooter alignWithMargins="0">
    <oddHeader>&amp;C&amp;14INVENTARIO INDICADORES REPORTADOS
CALIDAD</oddHeader>
    <oddFooter>&amp;LGiovannni&amp;CPágina &amp;P&amp;R&amp;D</oddFooter>
  </headerFooter>
  <rowBreaks count="1" manualBreakCount="1">
    <brk id="49" max="47" man="1"/>
  </rowBreaks>
  <colBreaks count="1" manualBreakCount="1">
    <brk id="18"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2:Z96"/>
  <sheetViews>
    <sheetView zoomScale="60" zoomScaleNormal="60" workbookViewId="0">
      <selection activeCell="E8" sqref="E8:G8"/>
    </sheetView>
  </sheetViews>
  <sheetFormatPr baseColWidth="10" defaultRowHeight="12.75" x14ac:dyDescent="0.2"/>
  <cols>
    <col min="1" max="1" width="35.5703125" style="32" customWidth="1"/>
    <col min="2" max="2" width="25.42578125" style="32" customWidth="1"/>
    <col min="3" max="3" width="24.28515625" style="32" customWidth="1"/>
    <col min="4" max="4" width="20.140625" style="32" customWidth="1"/>
    <col min="5" max="5" width="31.5703125" style="32" customWidth="1"/>
    <col min="6" max="6" width="21.140625" style="32" customWidth="1"/>
    <col min="7" max="7" width="21.140625" style="32" hidden="1" customWidth="1"/>
    <col min="8" max="8" width="43.42578125" style="32" customWidth="1"/>
    <col min="9" max="9" width="16.5703125" style="32" customWidth="1"/>
    <col min="10" max="10" width="20.42578125" style="32" customWidth="1"/>
    <col min="11" max="11" width="15.7109375" style="32" customWidth="1"/>
    <col min="12" max="12" width="33.28515625" style="32" customWidth="1"/>
    <col min="13" max="13" width="8.7109375" style="32" customWidth="1"/>
    <col min="14" max="16" width="12.85546875" style="32" customWidth="1"/>
    <col min="17" max="20" width="15.140625" style="32" customWidth="1"/>
    <col min="21" max="21" width="14.7109375" style="32" bestFit="1" customWidth="1"/>
    <col min="22" max="22" width="15" style="32" customWidth="1"/>
    <col min="23" max="23" width="15.140625" style="32" customWidth="1"/>
    <col min="24" max="24" width="17.7109375" style="32" customWidth="1"/>
    <col min="25" max="25" width="12.85546875" style="32" customWidth="1"/>
    <col min="26" max="254" width="11.42578125" style="32"/>
    <col min="255" max="255" width="22.7109375" style="32" customWidth="1"/>
    <col min="256" max="256" width="26.5703125" style="32" customWidth="1"/>
    <col min="257" max="257" width="19.140625" style="32" customWidth="1"/>
    <col min="258" max="258" width="20.140625" style="32" customWidth="1"/>
    <col min="259" max="259" width="15.140625" style="32" customWidth="1"/>
    <col min="260" max="260" width="21.140625" style="32" customWidth="1"/>
    <col min="261" max="261" width="26.140625" style="32" customWidth="1"/>
    <col min="262" max="262" width="18.7109375" style="32" customWidth="1"/>
    <col min="263" max="263" width="11.85546875" style="32" customWidth="1"/>
    <col min="264" max="264" width="15" style="32" customWidth="1"/>
    <col min="265" max="265" width="14" style="32" customWidth="1"/>
    <col min="266" max="510" width="11.42578125" style="32"/>
    <col min="511" max="511" width="22.7109375" style="32" customWidth="1"/>
    <col min="512" max="512" width="26.5703125" style="32" customWidth="1"/>
    <col min="513" max="513" width="19.140625" style="32" customWidth="1"/>
    <col min="514" max="514" width="20.140625" style="32" customWidth="1"/>
    <col min="515" max="515" width="15.140625" style="32" customWidth="1"/>
    <col min="516" max="516" width="21.140625" style="32" customWidth="1"/>
    <col min="517" max="517" width="26.140625" style="32" customWidth="1"/>
    <col min="518" max="518" width="18.7109375" style="32" customWidth="1"/>
    <col min="519" max="519" width="11.85546875" style="32" customWidth="1"/>
    <col min="520" max="520" width="15" style="32" customWidth="1"/>
    <col min="521" max="521" width="14" style="32" customWidth="1"/>
    <col min="522" max="766" width="11.42578125" style="32"/>
    <col min="767" max="767" width="22.7109375" style="32" customWidth="1"/>
    <col min="768" max="768" width="26.5703125" style="32" customWidth="1"/>
    <col min="769" max="769" width="19.140625" style="32" customWidth="1"/>
    <col min="770" max="770" width="20.140625" style="32" customWidth="1"/>
    <col min="771" max="771" width="15.140625" style="32" customWidth="1"/>
    <col min="772" max="772" width="21.140625" style="32" customWidth="1"/>
    <col min="773" max="773" width="26.140625" style="32" customWidth="1"/>
    <col min="774" max="774" width="18.7109375" style="32" customWidth="1"/>
    <col min="775" max="775" width="11.85546875" style="32" customWidth="1"/>
    <col min="776" max="776" width="15" style="32" customWidth="1"/>
    <col min="777" max="777" width="14" style="32" customWidth="1"/>
    <col min="778" max="1022" width="11.42578125" style="32"/>
    <col min="1023" max="1023" width="22.7109375" style="32" customWidth="1"/>
    <col min="1024" max="1024" width="26.5703125" style="32" customWidth="1"/>
    <col min="1025" max="1025" width="19.140625" style="32" customWidth="1"/>
    <col min="1026" max="1026" width="20.140625" style="32" customWidth="1"/>
    <col min="1027" max="1027" width="15.140625" style="32" customWidth="1"/>
    <col min="1028" max="1028" width="21.140625" style="32" customWidth="1"/>
    <col min="1029" max="1029" width="26.140625" style="32" customWidth="1"/>
    <col min="1030" max="1030" width="18.7109375" style="32" customWidth="1"/>
    <col min="1031" max="1031" width="11.85546875" style="32" customWidth="1"/>
    <col min="1032" max="1032" width="15" style="32" customWidth="1"/>
    <col min="1033" max="1033" width="14" style="32" customWidth="1"/>
    <col min="1034" max="1278" width="11.42578125" style="32"/>
    <col min="1279" max="1279" width="22.7109375" style="32" customWidth="1"/>
    <col min="1280" max="1280" width="26.5703125" style="32" customWidth="1"/>
    <col min="1281" max="1281" width="19.140625" style="32" customWidth="1"/>
    <col min="1282" max="1282" width="20.140625" style="32" customWidth="1"/>
    <col min="1283" max="1283" width="15.140625" style="32" customWidth="1"/>
    <col min="1284" max="1284" width="21.140625" style="32" customWidth="1"/>
    <col min="1285" max="1285" width="26.140625" style="32" customWidth="1"/>
    <col min="1286" max="1286" width="18.7109375" style="32" customWidth="1"/>
    <col min="1287" max="1287" width="11.85546875" style="32" customWidth="1"/>
    <col min="1288" max="1288" width="15" style="32" customWidth="1"/>
    <col min="1289" max="1289" width="14" style="32" customWidth="1"/>
    <col min="1290" max="1534" width="11.42578125" style="32"/>
    <col min="1535" max="1535" width="22.7109375" style="32" customWidth="1"/>
    <col min="1536" max="1536" width="26.5703125" style="32" customWidth="1"/>
    <col min="1537" max="1537" width="19.140625" style="32" customWidth="1"/>
    <col min="1538" max="1538" width="20.140625" style="32" customWidth="1"/>
    <col min="1539" max="1539" width="15.140625" style="32" customWidth="1"/>
    <col min="1540" max="1540" width="21.140625" style="32" customWidth="1"/>
    <col min="1541" max="1541" width="26.140625" style="32" customWidth="1"/>
    <col min="1542" max="1542" width="18.7109375" style="32" customWidth="1"/>
    <col min="1543" max="1543" width="11.85546875" style="32" customWidth="1"/>
    <col min="1544" max="1544" width="15" style="32" customWidth="1"/>
    <col min="1545" max="1545" width="14" style="32" customWidth="1"/>
    <col min="1546" max="1790" width="11.42578125" style="32"/>
    <col min="1791" max="1791" width="22.7109375" style="32" customWidth="1"/>
    <col min="1792" max="1792" width="26.5703125" style="32" customWidth="1"/>
    <col min="1793" max="1793" width="19.140625" style="32" customWidth="1"/>
    <col min="1794" max="1794" width="20.140625" style="32" customWidth="1"/>
    <col min="1795" max="1795" width="15.140625" style="32" customWidth="1"/>
    <col min="1796" max="1796" width="21.140625" style="32" customWidth="1"/>
    <col min="1797" max="1797" width="26.140625" style="32" customWidth="1"/>
    <col min="1798" max="1798" width="18.7109375" style="32" customWidth="1"/>
    <col min="1799" max="1799" width="11.85546875" style="32" customWidth="1"/>
    <col min="1800" max="1800" width="15" style="32" customWidth="1"/>
    <col min="1801" max="1801" width="14" style="32" customWidth="1"/>
    <col min="1802" max="2046" width="11.42578125" style="32"/>
    <col min="2047" max="2047" width="22.7109375" style="32" customWidth="1"/>
    <col min="2048" max="2048" width="26.5703125" style="32" customWidth="1"/>
    <col min="2049" max="2049" width="19.140625" style="32" customWidth="1"/>
    <col min="2050" max="2050" width="20.140625" style="32" customWidth="1"/>
    <col min="2051" max="2051" width="15.140625" style="32" customWidth="1"/>
    <col min="2052" max="2052" width="21.140625" style="32" customWidth="1"/>
    <col min="2053" max="2053" width="26.140625" style="32" customWidth="1"/>
    <col min="2054" max="2054" width="18.7109375" style="32" customWidth="1"/>
    <col min="2055" max="2055" width="11.85546875" style="32" customWidth="1"/>
    <col min="2056" max="2056" width="15" style="32" customWidth="1"/>
    <col min="2057" max="2057" width="14" style="32" customWidth="1"/>
    <col min="2058" max="2302" width="11.42578125" style="32"/>
    <col min="2303" max="2303" width="22.7109375" style="32" customWidth="1"/>
    <col min="2304" max="2304" width="26.5703125" style="32" customWidth="1"/>
    <col min="2305" max="2305" width="19.140625" style="32" customWidth="1"/>
    <col min="2306" max="2306" width="20.140625" style="32" customWidth="1"/>
    <col min="2307" max="2307" width="15.140625" style="32" customWidth="1"/>
    <col min="2308" max="2308" width="21.140625" style="32" customWidth="1"/>
    <col min="2309" max="2309" width="26.140625" style="32" customWidth="1"/>
    <col min="2310" max="2310" width="18.7109375" style="32" customWidth="1"/>
    <col min="2311" max="2311" width="11.85546875" style="32" customWidth="1"/>
    <col min="2312" max="2312" width="15" style="32" customWidth="1"/>
    <col min="2313" max="2313" width="14" style="32" customWidth="1"/>
    <col min="2314" max="2558" width="11.42578125" style="32"/>
    <col min="2559" max="2559" width="22.7109375" style="32" customWidth="1"/>
    <col min="2560" max="2560" width="26.5703125" style="32" customWidth="1"/>
    <col min="2561" max="2561" width="19.140625" style="32" customWidth="1"/>
    <col min="2562" max="2562" width="20.140625" style="32" customWidth="1"/>
    <col min="2563" max="2563" width="15.140625" style="32" customWidth="1"/>
    <col min="2564" max="2564" width="21.140625" style="32" customWidth="1"/>
    <col min="2565" max="2565" width="26.140625" style="32" customWidth="1"/>
    <col min="2566" max="2566" width="18.7109375" style="32" customWidth="1"/>
    <col min="2567" max="2567" width="11.85546875" style="32" customWidth="1"/>
    <col min="2568" max="2568" width="15" style="32" customWidth="1"/>
    <col min="2569" max="2569" width="14" style="32" customWidth="1"/>
    <col min="2570" max="2814" width="11.42578125" style="32"/>
    <col min="2815" max="2815" width="22.7109375" style="32" customWidth="1"/>
    <col min="2816" max="2816" width="26.5703125" style="32" customWidth="1"/>
    <col min="2817" max="2817" width="19.140625" style="32" customWidth="1"/>
    <col min="2818" max="2818" width="20.140625" style="32" customWidth="1"/>
    <col min="2819" max="2819" width="15.140625" style="32" customWidth="1"/>
    <col min="2820" max="2820" width="21.140625" style="32" customWidth="1"/>
    <col min="2821" max="2821" width="26.140625" style="32" customWidth="1"/>
    <col min="2822" max="2822" width="18.7109375" style="32" customWidth="1"/>
    <col min="2823" max="2823" width="11.85546875" style="32" customWidth="1"/>
    <col min="2824" max="2824" width="15" style="32" customWidth="1"/>
    <col min="2825" max="2825" width="14" style="32" customWidth="1"/>
    <col min="2826" max="3070" width="11.42578125" style="32"/>
    <col min="3071" max="3071" width="22.7109375" style="32" customWidth="1"/>
    <col min="3072" max="3072" width="26.5703125" style="32" customWidth="1"/>
    <col min="3073" max="3073" width="19.140625" style="32" customWidth="1"/>
    <col min="3074" max="3074" width="20.140625" style="32" customWidth="1"/>
    <col min="3075" max="3075" width="15.140625" style="32" customWidth="1"/>
    <col min="3076" max="3076" width="21.140625" style="32" customWidth="1"/>
    <col min="3077" max="3077" width="26.140625" style="32" customWidth="1"/>
    <col min="3078" max="3078" width="18.7109375" style="32" customWidth="1"/>
    <col min="3079" max="3079" width="11.85546875" style="32" customWidth="1"/>
    <col min="3080" max="3080" width="15" style="32" customWidth="1"/>
    <col min="3081" max="3081" width="14" style="32" customWidth="1"/>
    <col min="3082" max="3326" width="11.42578125" style="32"/>
    <col min="3327" max="3327" width="22.7109375" style="32" customWidth="1"/>
    <col min="3328" max="3328" width="26.5703125" style="32" customWidth="1"/>
    <col min="3329" max="3329" width="19.140625" style="32" customWidth="1"/>
    <col min="3330" max="3330" width="20.140625" style="32" customWidth="1"/>
    <col min="3331" max="3331" width="15.140625" style="32" customWidth="1"/>
    <col min="3332" max="3332" width="21.140625" style="32" customWidth="1"/>
    <col min="3333" max="3333" width="26.140625" style="32" customWidth="1"/>
    <col min="3334" max="3334" width="18.7109375" style="32" customWidth="1"/>
    <col min="3335" max="3335" width="11.85546875" style="32" customWidth="1"/>
    <col min="3336" max="3336" width="15" style="32" customWidth="1"/>
    <col min="3337" max="3337" width="14" style="32" customWidth="1"/>
    <col min="3338" max="3582" width="11.42578125" style="32"/>
    <col min="3583" max="3583" width="22.7109375" style="32" customWidth="1"/>
    <col min="3584" max="3584" width="26.5703125" style="32" customWidth="1"/>
    <col min="3585" max="3585" width="19.140625" style="32" customWidth="1"/>
    <col min="3586" max="3586" width="20.140625" style="32" customWidth="1"/>
    <col min="3587" max="3587" width="15.140625" style="32" customWidth="1"/>
    <col min="3588" max="3588" width="21.140625" style="32" customWidth="1"/>
    <col min="3589" max="3589" width="26.140625" style="32" customWidth="1"/>
    <col min="3590" max="3590" width="18.7109375" style="32" customWidth="1"/>
    <col min="3591" max="3591" width="11.85546875" style="32" customWidth="1"/>
    <col min="3592" max="3592" width="15" style="32" customWidth="1"/>
    <col min="3593" max="3593" width="14" style="32" customWidth="1"/>
    <col min="3594" max="3838" width="11.42578125" style="32"/>
    <col min="3839" max="3839" width="22.7109375" style="32" customWidth="1"/>
    <col min="3840" max="3840" width="26.5703125" style="32" customWidth="1"/>
    <col min="3841" max="3841" width="19.140625" style="32" customWidth="1"/>
    <col min="3842" max="3842" width="20.140625" style="32" customWidth="1"/>
    <col min="3843" max="3843" width="15.140625" style="32" customWidth="1"/>
    <col min="3844" max="3844" width="21.140625" style="32" customWidth="1"/>
    <col min="3845" max="3845" width="26.140625" style="32" customWidth="1"/>
    <col min="3846" max="3846" width="18.7109375" style="32" customWidth="1"/>
    <col min="3847" max="3847" width="11.85546875" style="32" customWidth="1"/>
    <col min="3848" max="3848" width="15" style="32" customWidth="1"/>
    <col min="3849" max="3849" width="14" style="32" customWidth="1"/>
    <col min="3850" max="4094" width="11.42578125" style="32"/>
    <col min="4095" max="4095" width="22.7109375" style="32" customWidth="1"/>
    <col min="4096" max="4096" width="26.5703125" style="32" customWidth="1"/>
    <col min="4097" max="4097" width="19.140625" style="32" customWidth="1"/>
    <col min="4098" max="4098" width="20.140625" style="32" customWidth="1"/>
    <col min="4099" max="4099" width="15.140625" style="32" customWidth="1"/>
    <col min="4100" max="4100" width="21.140625" style="32" customWidth="1"/>
    <col min="4101" max="4101" width="26.140625" style="32" customWidth="1"/>
    <col min="4102" max="4102" width="18.7109375" style="32" customWidth="1"/>
    <col min="4103" max="4103" width="11.85546875" style="32" customWidth="1"/>
    <col min="4104" max="4104" width="15" style="32" customWidth="1"/>
    <col min="4105" max="4105" width="14" style="32" customWidth="1"/>
    <col min="4106" max="4350" width="11.42578125" style="32"/>
    <col min="4351" max="4351" width="22.7109375" style="32" customWidth="1"/>
    <col min="4352" max="4352" width="26.5703125" style="32" customWidth="1"/>
    <col min="4353" max="4353" width="19.140625" style="32" customWidth="1"/>
    <col min="4354" max="4354" width="20.140625" style="32" customWidth="1"/>
    <col min="4355" max="4355" width="15.140625" style="32" customWidth="1"/>
    <col min="4356" max="4356" width="21.140625" style="32" customWidth="1"/>
    <col min="4357" max="4357" width="26.140625" style="32" customWidth="1"/>
    <col min="4358" max="4358" width="18.7109375" style="32" customWidth="1"/>
    <col min="4359" max="4359" width="11.85546875" style="32" customWidth="1"/>
    <col min="4360" max="4360" width="15" style="32" customWidth="1"/>
    <col min="4361" max="4361" width="14" style="32" customWidth="1"/>
    <col min="4362" max="4606" width="11.42578125" style="32"/>
    <col min="4607" max="4607" width="22.7109375" style="32" customWidth="1"/>
    <col min="4608" max="4608" width="26.5703125" style="32" customWidth="1"/>
    <col min="4609" max="4609" width="19.140625" style="32" customWidth="1"/>
    <col min="4610" max="4610" width="20.140625" style="32" customWidth="1"/>
    <col min="4611" max="4611" width="15.140625" style="32" customWidth="1"/>
    <col min="4612" max="4612" width="21.140625" style="32" customWidth="1"/>
    <col min="4613" max="4613" width="26.140625" style="32" customWidth="1"/>
    <col min="4614" max="4614" width="18.7109375" style="32" customWidth="1"/>
    <col min="4615" max="4615" width="11.85546875" style="32" customWidth="1"/>
    <col min="4616" max="4616" width="15" style="32" customWidth="1"/>
    <col min="4617" max="4617" width="14" style="32" customWidth="1"/>
    <col min="4618" max="4862" width="11.42578125" style="32"/>
    <col min="4863" max="4863" width="22.7109375" style="32" customWidth="1"/>
    <col min="4864" max="4864" width="26.5703125" style="32" customWidth="1"/>
    <col min="4865" max="4865" width="19.140625" style="32" customWidth="1"/>
    <col min="4866" max="4866" width="20.140625" style="32" customWidth="1"/>
    <col min="4867" max="4867" width="15.140625" style="32" customWidth="1"/>
    <col min="4868" max="4868" width="21.140625" style="32" customWidth="1"/>
    <col min="4869" max="4869" width="26.140625" style="32" customWidth="1"/>
    <col min="4870" max="4870" width="18.7109375" style="32" customWidth="1"/>
    <col min="4871" max="4871" width="11.85546875" style="32" customWidth="1"/>
    <col min="4872" max="4872" width="15" style="32" customWidth="1"/>
    <col min="4873" max="4873" width="14" style="32" customWidth="1"/>
    <col min="4874" max="5118" width="11.42578125" style="32"/>
    <col min="5119" max="5119" width="22.7109375" style="32" customWidth="1"/>
    <col min="5120" max="5120" width="26.5703125" style="32" customWidth="1"/>
    <col min="5121" max="5121" width="19.140625" style="32" customWidth="1"/>
    <col min="5122" max="5122" width="20.140625" style="32" customWidth="1"/>
    <col min="5123" max="5123" width="15.140625" style="32" customWidth="1"/>
    <col min="5124" max="5124" width="21.140625" style="32" customWidth="1"/>
    <col min="5125" max="5125" width="26.140625" style="32" customWidth="1"/>
    <col min="5126" max="5126" width="18.7109375" style="32" customWidth="1"/>
    <col min="5127" max="5127" width="11.85546875" style="32" customWidth="1"/>
    <col min="5128" max="5128" width="15" style="32" customWidth="1"/>
    <col min="5129" max="5129" width="14" style="32" customWidth="1"/>
    <col min="5130" max="5374" width="11.42578125" style="32"/>
    <col min="5375" max="5375" width="22.7109375" style="32" customWidth="1"/>
    <col min="5376" max="5376" width="26.5703125" style="32" customWidth="1"/>
    <col min="5377" max="5377" width="19.140625" style="32" customWidth="1"/>
    <col min="5378" max="5378" width="20.140625" style="32" customWidth="1"/>
    <col min="5379" max="5379" width="15.140625" style="32" customWidth="1"/>
    <col min="5380" max="5380" width="21.140625" style="32" customWidth="1"/>
    <col min="5381" max="5381" width="26.140625" style="32" customWidth="1"/>
    <col min="5382" max="5382" width="18.7109375" style="32" customWidth="1"/>
    <col min="5383" max="5383" width="11.85546875" style="32" customWidth="1"/>
    <col min="5384" max="5384" width="15" style="32" customWidth="1"/>
    <col min="5385" max="5385" width="14" style="32" customWidth="1"/>
    <col min="5386" max="5630" width="11.42578125" style="32"/>
    <col min="5631" max="5631" width="22.7109375" style="32" customWidth="1"/>
    <col min="5632" max="5632" width="26.5703125" style="32" customWidth="1"/>
    <col min="5633" max="5633" width="19.140625" style="32" customWidth="1"/>
    <col min="5634" max="5634" width="20.140625" style="32" customWidth="1"/>
    <col min="5635" max="5635" width="15.140625" style="32" customWidth="1"/>
    <col min="5636" max="5636" width="21.140625" style="32" customWidth="1"/>
    <col min="5637" max="5637" width="26.140625" style="32" customWidth="1"/>
    <col min="5638" max="5638" width="18.7109375" style="32" customWidth="1"/>
    <col min="5639" max="5639" width="11.85546875" style="32" customWidth="1"/>
    <col min="5640" max="5640" width="15" style="32" customWidth="1"/>
    <col min="5641" max="5641" width="14" style="32" customWidth="1"/>
    <col min="5642" max="5886" width="11.42578125" style="32"/>
    <col min="5887" max="5887" width="22.7109375" style="32" customWidth="1"/>
    <col min="5888" max="5888" width="26.5703125" style="32" customWidth="1"/>
    <col min="5889" max="5889" width="19.140625" style="32" customWidth="1"/>
    <col min="5890" max="5890" width="20.140625" style="32" customWidth="1"/>
    <col min="5891" max="5891" width="15.140625" style="32" customWidth="1"/>
    <col min="5892" max="5892" width="21.140625" style="32" customWidth="1"/>
    <col min="5893" max="5893" width="26.140625" style="32" customWidth="1"/>
    <col min="5894" max="5894" width="18.7109375" style="32" customWidth="1"/>
    <col min="5895" max="5895" width="11.85546875" style="32" customWidth="1"/>
    <col min="5896" max="5896" width="15" style="32" customWidth="1"/>
    <col min="5897" max="5897" width="14" style="32" customWidth="1"/>
    <col min="5898" max="6142" width="11.42578125" style="32"/>
    <col min="6143" max="6143" width="22.7109375" style="32" customWidth="1"/>
    <col min="6144" max="6144" width="26.5703125" style="32" customWidth="1"/>
    <col min="6145" max="6145" width="19.140625" style="32" customWidth="1"/>
    <col min="6146" max="6146" width="20.140625" style="32" customWidth="1"/>
    <col min="6147" max="6147" width="15.140625" style="32" customWidth="1"/>
    <col min="6148" max="6148" width="21.140625" style="32" customWidth="1"/>
    <col min="6149" max="6149" width="26.140625" style="32" customWidth="1"/>
    <col min="6150" max="6150" width="18.7109375" style="32" customWidth="1"/>
    <col min="6151" max="6151" width="11.85546875" style="32" customWidth="1"/>
    <col min="6152" max="6152" width="15" style="32" customWidth="1"/>
    <col min="6153" max="6153" width="14" style="32" customWidth="1"/>
    <col min="6154" max="6398" width="11.42578125" style="32"/>
    <col min="6399" max="6399" width="22.7109375" style="32" customWidth="1"/>
    <col min="6400" max="6400" width="26.5703125" style="32" customWidth="1"/>
    <col min="6401" max="6401" width="19.140625" style="32" customWidth="1"/>
    <col min="6402" max="6402" width="20.140625" style="32" customWidth="1"/>
    <col min="6403" max="6403" width="15.140625" style="32" customWidth="1"/>
    <col min="6404" max="6404" width="21.140625" style="32" customWidth="1"/>
    <col min="6405" max="6405" width="26.140625" style="32" customWidth="1"/>
    <col min="6406" max="6406" width="18.7109375" style="32" customWidth="1"/>
    <col min="6407" max="6407" width="11.85546875" style="32" customWidth="1"/>
    <col min="6408" max="6408" width="15" style="32" customWidth="1"/>
    <col min="6409" max="6409" width="14" style="32" customWidth="1"/>
    <col min="6410" max="6654" width="11.42578125" style="32"/>
    <col min="6655" max="6655" width="22.7109375" style="32" customWidth="1"/>
    <col min="6656" max="6656" width="26.5703125" style="32" customWidth="1"/>
    <col min="6657" max="6657" width="19.140625" style="32" customWidth="1"/>
    <col min="6658" max="6658" width="20.140625" style="32" customWidth="1"/>
    <col min="6659" max="6659" width="15.140625" style="32" customWidth="1"/>
    <col min="6660" max="6660" width="21.140625" style="32" customWidth="1"/>
    <col min="6661" max="6661" width="26.140625" style="32" customWidth="1"/>
    <col min="6662" max="6662" width="18.7109375" style="32" customWidth="1"/>
    <col min="6663" max="6663" width="11.85546875" style="32" customWidth="1"/>
    <col min="6664" max="6664" width="15" style="32" customWidth="1"/>
    <col min="6665" max="6665" width="14" style="32" customWidth="1"/>
    <col min="6666" max="6910" width="11.42578125" style="32"/>
    <col min="6911" max="6911" width="22.7109375" style="32" customWidth="1"/>
    <col min="6912" max="6912" width="26.5703125" style="32" customWidth="1"/>
    <col min="6913" max="6913" width="19.140625" style="32" customWidth="1"/>
    <col min="6914" max="6914" width="20.140625" style="32" customWidth="1"/>
    <col min="6915" max="6915" width="15.140625" style="32" customWidth="1"/>
    <col min="6916" max="6916" width="21.140625" style="32" customWidth="1"/>
    <col min="6917" max="6917" width="26.140625" style="32" customWidth="1"/>
    <col min="6918" max="6918" width="18.7109375" style="32" customWidth="1"/>
    <col min="6919" max="6919" width="11.85546875" style="32" customWidth="1"/>
    <col min="6920" max="6920" width="15" style="32" customWidth="1"/>
    <col min="6921" max="6921" width="14" style="32" customWidth="1"/>
    <col min="6922" max="7166" width="11.42578125" style="32"/>
    <col min="7167" max="7167" width="22.7109375" style="32" customWidth="1"/>
    <col min="7168" max="7168" width="26.5703125" style="32" customWidth="1"/>
    <col min="7169" max="7169" width="19.140625" style="32" customWidth="1"/>
    <col min="7170" max="7170" width="20.140625" style="32" customWidth="1"/>
    <col min="7171" max="7171" width="15.140625" style="32" customWidth="1"/>
    <col min="7172" max="7172" width="21.140625" style="32" customWidth="1"/>
    <col min="7173" max="7173" width="26.140625" style="32" customWidth="1"/>
    <col min="7174" max="7174" width="18.7109375" style="32" customWidth="1"/>
    <col min="7175" max="7175" width="11.85546875" style="32" customWidth="1"/>
    <col min="7176" max="7176" width="15" style="32" customWidth="1"/>
    <col min="7177" max="7177" width="14" style="32" customWidth="1"/>
    <col min="7178" max="7422" width="11.42578125" style="32"/>
    <col min="7423" max="7423" width="22.7109375" style="32" customWidth="1"/>
    <col min="7424" max="7424" width="26.5703125" style="32" customWidth="1"/>
    <col min="7425" max="7425" width="19.140625" style="32" customWidth="1"/>
    <col min="7426" max="7426" width="20.140625" style="32" customWidth="1"/>
    <col min="7427" max="7427" width="15.140625" style="32" customWidth="1"/>
    <col min="7428" max="7428" width="21.140625" style="32" customWidth="1"/>
    <col min="7429" max="7429" width="26.140625" style="32" customWidth="1"/>
    <col min="7430" max="7430" width="18.7109375" style="32" customWidth="1"/>
    <col min="7431" max="7431" width="11.85546875" style="32" customWidth="1"/>
    <col min="7432" max="7432" width="15" style="32" customWidth="1"/>
    <col min="7433" max="7433" width="14" style="32" customWidth="1"/>
    <col min="7434" max="7678" width="11.42578125" style="32"/>
    <col min="7679" max="7679" width="22.7109375" style="32" customWidth="1"/>
    <col min="7680" max="7680" width="26.5703125" style="32" customWidth="1"/>
    <col min="7681" max="7681" width="19.140625" style="32" customWidth="1"/>
    <col min="7682" max="7682" width="20.140625" style="32" customWidth="1"/>
    <col min="7683" max="7683" width="15.140625" style="32" customWidth="1"/>
    <col min="7684" max="7684" width="21.140625" style="32" customWidth="1"/>
    <col min="7685" max="7685" width="26.140625" style="32" customWidth="1"/>
    <col min="7686" max="7686" width="18.7109375" style="32" customWidth="1"/>
    <col min="7687" max="7687" width="11.85546875" style="32" customWidth="1"/>
    <col min="7688" max="7688" width="15" style="32" customWidth="1"/>
    <col min="7689" max="7689" width="14" style="32" customWidth="1"/>
    <col min="7690" max="7934" width="11.42578125" style="32"/>
    <col min="7935" max="7935" width="22.7109375" style="32" customWidth="1"/>
    <col min="7936" max="7936" width="26.5703125" style="32" customWidth="1"/>
    <col min="7937" max="7937" width="19.140625" style="32" customWidth="1"/>
    <col min="7938" max="7938" width="20.140625" style="32" customWidth="1"/>
    <col min="7939" max="7939" width="15.140625" style="32" customWidth="1"/>
    <col min="7940" max="7940" width="21.140625" style="32" customWidth="1"/>
    <col min="7941" max="7941" width="26.140625" style="32" customWidth="1"/>
    <col min="7942" max="7942" width="18.7109375" style="32" customWidth="1"/>
    <col min="7943" max="7943" width="11.85546875" style="32" customWidth="1"/>
    <col min="7944" max="7944" width="15" style="32" customWidth="1"/>
    <col min="7945" max="7945" width="14" style="32" customWidth="1"/>
    <col min="7946" max="8190" width="11.42578125" style="32"/>
    <col min="8191" max="8191" width="22.7109375" style="32" customWidth="1"/>
    <col min="8192" max="8192" width="26.5703125" style="32" customWidth="1"/>
    <col min="8193" max="8193" width="19.140625" style="32" customWidth="1"/>
    <col min="8194" max="8194" width="20.140625" style="32" customWidth="1"/>
    <col min="8195" max="8195" width="15.140625" style="32" customWidth="1"/>
    <col min="8196" max="8196" width="21.140625" style="32" customWidth="1"/>
    <col min="8197" max="8197" width="26.140625" style="32" customWidth="1"/>
    <col min="8198" max="8198" width="18.7109375" style="32" customWidth="1"/>
    <col min="8199" max="8199" width="11.85546875" style="32" customWidth="1"/>
    <col min="8200" max="8200" width="15" style="32" customWidth="1"/>
    <col min="8201" max="8201" width="14" style="32" customWidth="1"/>
    <col min="8202" max="8446" width="11.42578125" style="32"/>
    <col min="8447" max="8447" width="22.7109375" style="32" customWidth="1"/>
    <col min="8448" max="8448" width="26.5703125" style="32" customWidth="1"/>
    <col min="8449" max="8449" width="19.140625" style="32" customWidth="1"/>
    <col min="8450" max="8450" width="20.140625" style="32" customWidth="1"/>
    <col min="8451" max="8451" width="15.140625" style="32" customWidth="1"/>
    <col min="8452" max="8452" width="21.140625" style="32" customWidth="1"/>
    <col min="8453" max="8453" width="26.140625" style="32" customWidth="1"/>
    <col min="8454" max="8454" width="18.7109375" style="32" customWidth="1"/>
    <col min="8455" max="8455" width="11.85546875" style="32" customWidth="1"/>
    <col min="8456" max="8456" width="15" style="32" customWidth="1"/>
    <col min="8457" max="8457" width="14" style="32" customWidth="1"/>
    <col min="8458" max="8702" width="11.42578125" style="32"/>
    <col min="8703" max="8703" width="22.7109375" style="32" customWidth="1"/>
    <col min="8704" max="8704" width="26.5703125" style="32" customWidth="1"/>
    <col min="8705" max="8705" width="19.140625" style="32" customWidth="1"/>
    <col min="8706" max="8706" width="20.140625" style="32" customWidth="1"/>
    <col min="8707" max="8707" width="15.140625" style="32" customWidth="1"/>
    <col min="8708" max="8708" width="21.140625" style="32" customWidth="1"/>
    <col min="8709" max="8709" width="26.140625" style="32" customWidth="1"/>
    <col min="8710" max="8710" width="18.7109375" style="32" customWidth="1"/>
    <col min="8711" max="8711" width="11.85546875" style="32" customWidth="1"/>
    <col min="8712" max="8712" width="15" style="32" customWidth="1"/>
    <col min="8713" max="8713" width="14" style="32" customWidth="1"/>
    <col min="8714" max="8958" width="11.42578125" style="32"/>
    <col min="8959" max="8959" width="22.7109375" style="32" customWidth="1"/>
    <col min="8960" max="8960" width="26.5703125" style="32" customWidth="1"/>
    <col min="8961" max="8961" width="19.140625" style="32" customWidth="1"/>
    <col min="8962" max="8962" width="20.140625" style="32" customWidth="1"/>
    <col min="8963" max="8963" width="15.140625" style="32" customWidth="1"/>
    <col min="8964" max="8964" width="21.140625" style="32" customWidth="1"/>
    <col min="8965" max="8965" width="26.140625" style="32" customWidth="1"/>
    <col min="8966" max="8966" width="18.7109375" style="32" customWidth="1"/>
    <col min="8967" max="8967" width="11.85546875" style="32" customWidth="1"/>
    <col min="8968" max="8968" width="15" style="32" customWidth="1"/>
    <col min="8969" max="8969" width="14" style="32" customWidth="1"/>
    <col min="8970" max="9214" width="11.42578125" style="32"/>
    <col min="9215" max="9215" width="22.7109375" style="32" customWidth="1"/>
    <col min="9216" max="9216" width="26.5703125" style="32" customWidth="1"/>
    <col min="9217" max="9217" width="19.140625" style="32" customWidth="1"/>
    <col min="9218" max="9218" width="20.140625" style="32" customWidth="1"/>
    <col min="9219" max="9219" width="15.140625" style="32" customWidth="1"/>
    <col min="9220" max="9220" width="21.140625" style="32" customWidth="1"/>
    <col min="9221" max="9221" width="26.140625" style="32" customWidth="1"/>
    <col min="9222" max="9222" width="18.7109375" style="32" customWidth="1"/>
    <col min="9223" max="9223" width="11.85546875" style="32" customWidth="1"/>
    <col min="9224" max="9224" width="15" style="32" customWidth="1"/>
    <col min="9225" max="9225" width="14" style="32" customWidth="1"/>
    <col min="9226" max="9470" width="11.42578125" style="32"/>
    <col min="9471" max="9471" width="22.7109375" style="32" customWidth="1"/>
    <col min="9472" max="9472" width="26.5703125" style="32" customWidth="1"/>
    <col min="9473" max="9473" width="19.140625" style="32" customWidth="1"/>
    <col min="9474" max="9474" width="20.140625" style="32" customWidth="1"/>
    <col min="9475" max="9475" width="15.140625" style="32" customWidth="1"/>
    <col min="9476" max="9476" width="21.140625" style="32" customWidth="1"/>
    <col min="9477" max="9477" width="26.140625" style="32" customWidth="1"/>
    <col min="9478" max="9478" width="18.7109375" style="32" customWidth="1"/>
    <col min="9479" max="9479" width="11.85546875" style="32" customWidth="1"/>
    <col min="9480" max="9480" width="15" style="32" customWidth="1"/>
    <col min="9481" max="9481" width="14" style="32" customWidth="1"/>
    <col min="9482" max="9726" width="11.42578125" style="32"/>
    <col min="9727" max="9727" width="22.7109375" style="32" customWidth="1"/>
    <col min="9728" max="9728" width="26.5703125" style="32" customWidth="1"/>
    <col min="9729" max="9729" width="19.140625" style="32" customWidth="1"/>
    <col min="9730" max="9730" width="20.140625" style="32" customWidth="1"/>
    <col min="9731" max="9731" width="15.140625" style="32" customWidth="1"/>
    <col min="9732" max="9732" width="21.140625" style="32" customWidth="1"/>
    <col min="9733" max="9733" width="26.140625" style="32" customWidth="1"/>
    <col min="9734" max="9734" width="18.7109375" style="32" customWidth="1"/>
    <col min="9735" max="9735" width="11.85546875" style="32" customWidth="1"/>
    <col min="9736" max="9736" width="15" style="32" customWidth="1"/>
    <col min="9737" max="9737" width="14" style="32" customWidth="1"/>
    <col min="9738" max="9982" width="11.42578125" style="32"/>
    <col min="9983" max="9983" width="22.7109375" style="32" customWidth="1"/>
    <col min="9984" max="9984" width="26.5703125" style="32" customWidth="1"/>
    <col min="9985" max="9985" width="19.140625" style="32" customWidth="1"/>
    <col min="9986" max="9986" width="20.140625" style="32" customWidth="1"/>
    <col min="9987" max="9987" width="15.140625" style="32" customWidth="1"/>
    <col min="9988" max="9988" width="21.140625" style="32" customWidth="1"/>
    <col min="9989" max="9989" width="26.140625" style="32" customWidth="1"/>
    <col min="9990" max="9990" width="18.7109375" style="32" customWidth="1"/>
    <col min="9991" max="9991" width="11.85546875" style="32" customWidth="1"/>
    <col min="9992" max="9992" width="15" style="32" customWidth="1"/>
    <col min="9993" max="9993" width="14" style="32" customWidth="1"/>
    <col min="9994" max="10238" width="11.42578125" style="32"/>
    <col min="10239" max="10239" width="22.7109375" style="32" customWidth="1"/>
    <col min="10240" max="10240" width="26.5703125" style="32" customWidth="1"/>
    <col min="10241" max="10241" width="19.140625" style="32" customWidth="1"/>
    <col min="10242" max="10242" width="20.140625" style="32" customWidth="1"/>
    <col min="10243" max="10243" width="15.140625" style="32" customWidth="1"/>
    <col min="10244" max="10244" width="21.140625" style="32" customWidth="1"/>
    <col min="10245" max="10245" width="26.140625" style="32" customWidth="1"/>
    <col min="10246" max="10246" width="18.7109375" style="32" customWidth="1"/>
    <col min="10247" max="10247" width="11.85546875" style="32" customWidth="1"/>
    <col min="10248" max="10248" width="15" style="32" customWidth="1"/>
    <col min="10249" max="10249" width="14" style="32" customWidth="1"/>
    <col min="10250" max="10494" width="11.42578125" style="32"/>
    <col min="10495" max="10495" width="22.7109375" style="32" customWidth="1"/>
    <col min="10496" max="10496" width="26.5703125" style="32" customWidth="1"/>
    <col min="10497" max="10497" width="19.140625" style="32" customWidth="1"/>
    <col min="10498" max="10498" width="20.140625" style="32" customWidth="1"/>
    <col min="10499" max="10499" width="15.140625" style="32" customWidth="1"/>
    <col min="10500" max="10500" width="21.140625" style="32" customWidth="1"/>
    <col min="10501" max="10501" width="26.140625" style="32" customWidth="1"/>
    <col min="10502" max="10502" width="18.7109375" style="32" customWidth="1"/>
    <col min="10503" max="10503" width="11.85546875" style="32" customWidth="1"/>
    <col min="10504" max="10504" width="15" style="32" customWidth="1"/>
    <col min="10505" max="10505" width="14" style="32" customWidth="1"/>
    <col min="10506" max="10750" width="11.42578125" style="32"/>
    <col min="10751" max="10751" width="22.7109375" style="32" customWidth="1"/>
    <col min="10752" max="10752" width="26.5703125" style="32" customWidth="1"/>
    <col min="10753" max="10753" width="19.140625" style="32" customWidth="1"/>
    <col min="10754" max="10754" width="20.140625" style="32" customWidth="1"/>
    <col min="10755" max="10755" width="15.140625" style="32" customWidth="1"/>
    <col min="10756" max="10756" width="21.140625" style="32" customWidth="1"/>
    <col min="10757" max="10757" width="26.140625" style="32" customWidth="1"/>
    <col min="10758" max="10758" width="18.7109375" style="32" customWidth="1"/>
    <col min="10759" max="10759" width="11.85546875" style="32" customWidth="1"/>
    <col min="10760" max="10760" width="15" style="32" customWidth="1"/>
    <col min="10761" max="10761" width="14" style="32" customWidth="1"/>
    <col min="10762" max="11006" width="11.42578125" style="32"/>
    <col min="11007" max="11007" width="22.7109375" style="32" customWidth="1"/>
    <col min="11008" max="11008" width="26.5703125" style="32" customWidth="1"/>
    <col min="11009" max="11009" width="19.140625" style="32" customWidth="1"/>
    <col min="11010" max="11010" width="20.140625" style="32" customWidth="1"/>
    <col min="11011" max="11011" width="15.140625" style="32" customWidth="1"/>
    <col min="11012" max="11012" width="21.140625" style="32" customWidth="1"/>
    <col min="11013" max="11013" width="26.140625" style="32" customWidth="1"/>
    <col min="11014" max="11014" width="18.7109375" style="32" customWidth="1"/>
    <col min="11015" max="11015" width="11.85546875" style="32" customWidth="1"/>
    <col min="11016" max="11016" width="15" style="32" customWidth="1"/>
    <col min="11017" max="11017" width="14" style="32" customWidth="1"/>
    <col min="11018" max="11262" width="11.42578125" style="32"/>
    <col min="11263" max="11263" width="22.7109375" style="32" customWidth="1"/>
    <col min="11264" max="11264" width="26.5703125" style="32" customWidth="1"/>
    <col min="11265" max="11265" width="19.140625" style="32" customWidth="1"/>
    <col min="11266" max="11266" width="20.140625" style="32" customWidth="1"/>
    <col min="11267" max="11267" width="15.140625" style="32" customWidth="1"/>
    <col min="11268" max="11268" width="21.140625" style="32" customWidth="1"/>
    <col min="11269" max="11269" width="26.140625" style="32" customWidth="1"/>
    <col min="11270" max="11270" width="18.7109375" style="32" customWidth="1"/>
    <col min="11271" max="11271" width="11.85546875" style="32" customWidth="1"/>
    <col min="11272" max="11272" width="15" style="32" customWidth="1"/>
    <col min="11273" max="11273" width="14" style="32" customWidth="1"/>
    <col min="11274" max="11518" width="11.42578125" style="32"/>
    <col min="11519" max="11519" width="22.7109375" style="32" customWidth="1"/>
    <col min="11520" max="11520" width="26.5703125" style="32" customWidth="1"/>
    <col min="11521" max="11521" width="19.140625" style="32" customWidth="1"/>
    <col min="11522" max="11522" width="20.140625" style="32" customWidth="1"/>
    <col min="11523" max="11523" width="15.140625" style="32" customWidth="1"/>
    <col min="11524" max="11524" width="21.140625" style="32" customWidth="1"/>
    <col min="11525" max="11525" width="26.140625" style="32" customWidth="1"/>
    <col min="11526" max="11526" width="18.7109375" style="32" customWidth="1"/>
    <col min="11527" max="11527" width="11.85546875" style="32" customWidth="1"/>
    <col min="11528" max="11528" width="15" style="32" customWidth="1"/>
    <col min="11529" max="11529" width="14" style="32" customWidth="1"/>
    <col min="11530" max="11774" width="11.42578125" style="32"/>
    <col min="11775" max="11775" width="22.7109375" style="32" customWidth="1"/>
    <col min="11776" max="11776" width="26.5703125" style="32" customWidth="1"/>
    <col min="11777" max="11777" width="19.140625" style="32" customWidth="1"/>
    <col min="11778" max="11778" width="20.140625" style="32" customWidth="1"/>
    <col min="11779" max="11779" width="15.140625" style="32" customWidth="1"/>
    <col min="11780" max="11780" width="21.140625" style="32" customWidth="1"/>
    <col min="11781" max="11781" width="26.140625" style="32" customWidth="1"/>
    <col min="11782" max="11782" width="18.7109375" style="32" customWidth="1"/>
    <col min="11783" max="11783" width="11.85546875" style="32" customWidth="1"/>
    <col min="11784" max="11784" width="15" style="32" customWidth="1"/>
    <col min="11785" max="11785" width="14" style="32" customWidth="1"/>
    <col min="11786" max="12030" width="11.42578125" style="32"/>
    <col min="12031" max="12031" width="22.7109375" style="32" customWidth="1"/>
    <col min="12032" max="12032" width="26.5703125" style="32" customWidth="1"/>
    <col min="12033" max="12033" width="19.140625" style="32" customWidth="1"/>
    <col min="12034" max="12034" width="20.140625" style="32" customWidth="1"/>
    <col min="12035" max="12035" width="15.140625" style="32" customWidth="1"/>
    <col min="12036" max="12036" width="21.140625" style="32" customWidth="1"/>
    <col min="12037" max="12037" width="26.140625" style="32" customWidth="1"/>
    <col min="12038" max="12038" width="18.7109375" style="32" customWidth="1"/>
    <col min="12039" max="12039" width="11.85546875" style="32" customWidth="1"/>
    <col min="12040" max="12040" width="15" style="32" customWidth="1"/>
    <col min="12041" max="12041" width="14" style="32" customWidth="1"/>
    <col min="12042" max="12286" width="11.42578125" style="32"/>
    <col min="12287" max="12287" width="22.7109375" style="32" customWidth="1"/>
    <col min="12288" max="12288" width="26.5703125" style="32" customWidth="1"/>
    <col min="12289" max="12289" width="19.140625" style="32" customWidth="1"/>
    <col min="12290" max="12290" width="20.140625" style="32" customWidth="1"/>
    <col min="12291" max="12291" width="15.140625" style="32" customWidth="1"/>
    <col min="12292" max="12292" width="21.140625" style="32" customWidth="1"/>
    <col min="12293" max="12293" width="26.140625" style="32" customWidth="1"/>
    <col min="12294" max="12294" width="18.7109375" style="32" customWidth="1"/>
    <col min="12295" max="12295" width="11.85546875" style="32" customWidth="1"/>
    <col min="12296" max="12296" width="15" style="32" customWidth="1"/>
    <col min="12297" max="12297" width="14" style="32" customWidth="1"/>
    <col min="12298" max="12542" width="11.42578125" style="32"/>
    <col min="12543" max="12543" width="22.7109375" style="32" customWidth="1"/>
    <col min="12544" max="12544" width="26.5703125" style="32" customWidth="1"/>
    <col min="12545" max="12545" width="19.140625" style="32" customWidth="1"/>
    <col min="12546" max="12546" width="20.140625" style="32" customWidth="1"/>
    <col min="12547" max="12547" width="15.140625" style="32" customWidth="1"/>
    <col min="12548" max="12548" width="21.140625" style="32" customWidth="1"/>
    <col min="12549" max="12549" width="26.140625" style="32" customWidth="1"/>
    <col min="12550" max="12550" width="18.7109375" style="32" customWidth="1"/>
    <col min="12551" max="12551" width="11.85546875" style="32" customWidth="1"/>
    <col min="12552" max="12552" width="15" style="32" customWidth="1"/>
    <col min="12553" max="12553" width="14" style="32" customWidth="1"/>
    <col min="12554" max="12798" width="11.42578125" style="32"/>
    <col min="12799" max="12799" width="22.7109375" style="32" customWidth="1"/>
    <col min="12800" max="12800" width="26.5703125" style="32" customWidth="1"/>
    <col min="12801" max="12801" width="19.140625" style="32" customWidth="1"/>
    <col min="12802" max="12802" width="20.140625" style="32" customWidth="1"/>
    <col min="12803" max="12803" width="15.140625" style="32" customWidth="1"/>
    <col min="12804" max="12804" width="21.140625" style="32" customWidth="1"/>
    <col min="12805" max="12805" width="26.140625" style="32" customWidth="1"/>
    <col min="12806" max="12806" width="18.7109375" style="32" customWidth="1"/>
    <col min="12807" max="12807" width="11.85546875" style="32" customWidth="1"/>
    <col min="12808" max="12808" width="15" style="32" customWidth="1"/>
    <col min="12809" max="12809" width="14" style="32" customWidth="1"/>
    <col min="12810" max="13054" width="11.42578125" style="32"/>
    <col min="13055" max="13055" width="22.7109375" style="32" customWidth="1"/>
    <col min="13056" max="13056" width="26.5703125" style="32" customWidth="1"/>
    <col min="13057" max="13057" width="19.140625" style="32" customWidth="1"/>
    <col min="13058" max="13058" width="20.140625" style="32" customWidth="1"/>
    <col min="13059" max="13059" width="15.140625" style="32" customWidth="1"/>
    <col min="13060" max="13060" width="21.140625" style="32" customWidth="1"/>
    <col min="13061" max="13061" width="26.140625" style="32" customWidth="1"/>
    <col min="13062" max="13062" width="18.7109375" style="32" customWidth="1"/>
    <col min="13063" max="13063" width="11.85546875" style="32" customWidth="1"/>
    <col min="13064" max="13064" width="15" style="32" customWidth="1"/>
    <col min="13065" max="13065" width="14" style="32" customWidth="1"/>
    <col min="13066" max="13310" width="11.42578125" style="32"/>
    <col min="13311" max="13311" width="22.7109375" style="32" customWidth="1"/>
    <col min="13312" max="13312" width="26.5703125" style="32" customWidth="1"/>
    <col min="13313" max="13313" width="19.140625" style="32" customWidth="1"/>
    <col min="13314" max="13314" width="20.140625" style="32" customWidth="1"/>
    <col min="13315" max="13315" width="15.140625" style="32" customWidth="1"/>
    <col min="13316" max="13316" width="21.140625" style="32" customWidth="1"/>
    <col min="13317" max="13317" width="26.140625" style="32" customWidth="1"/>
    <col min="13318" max="13318" width="18.7109375" style="32" customWidth="1"/>
    <col min="13319" max="13319" width="11.85546875" style="32" customWidth="1"/>
    <col min="13320" max="13320" width="15" style="32" customWidth="1"/>
    <col min="13321" max="13321" width="14" style="32" customWidth="1"/>
    <col min="13322" max="13566" width="11.42578125" style="32"/>
    <col min="13567" max="13567" width="22.7109375" style="32" customWidth="1"/>
    <col min="13568" max="13568" width="26.5703125" style="32" customWidth="1"/>
    <col min="13569" max="13569" width="19.140625" style="32" customWidth="1"/>
    <col min="13570" max="13570" width="20.140625" style="32" customWidth="1"/>
    <col min="13571" max="13571" width="15.140625" style="32" customWidth="1"/>
    <col min="13572" max="13572" width="21.140625" style="32" customWidth="1"/>
    <col min="13573" max="13573" width="26.140625" style="32" customWidth="1"/>
    <col min="13574" max="13574" width="18.7109375" style="32" customWidth="1"/>
    <col min="13575" max="13575" width="11.85546875" style="32" customWidth="1"/>
    <col min="13576" max="13576" width="15" style="32" customWidth="1"/>
    <col min="13577" max="13577" width="14" style="32" customWidth="1"/>
    <col min="13578" max="13822" width="11.42578125" style="32"/>
    <col min="13823" max="13823" width="22.7109375" style="32" customWidth="1"/>
    <col min="13824" max="13824" width="26.5703125" style="32" customWidth="1"/>
    <col min="13825" max="13825" width="19.140625" style="32" customWidth="1"/>
    <col min="13826" max="13826" width="20.140625" style="32" customWidth="1"/>
    <col min="13827" max="13827" width="15.140625" style="32" customWidth="1"/>
    <col min="13828" max="13828" width="21.140625" style="32" customWidth="1"/>
    <col min="13829" max="13829" width="26.140625" style="32" customWidth="1"/>
    <col min="13830" max="13830" width="18.7109375" style="32" customWidth="1"/>
    <col min="13831" max="13831" width="11.85546875" style="32" customWidth="1"/>
    <col min="13832" max="13832" width="15" style="32" customWidth="1"/>
    <col min="13833" max="13833" width="14" style="32" customWidth="1"/>
    <col min="13834" max="14078" width="11.42578125" style="32"/>
    <col min="14079" max="14079" width="22.7109375" style="32" customWidth="1"/>
    <col min="14080" max="14080" width="26.5703125" style="32" customWidth="1"/>
    <col min="14081" max="14081" width="19.140625" style="32" customWidth="1"/>
    <col min="14082" max="14082" width="20.140625" style="32" customWidth="1"/>
    <col min="14083" max="14083" width="15.140625" style="32" customWidth="1"/>
    <col min="14084" max="14084" width="21.140625" style="32" customWidth="1"/>
    <col min="14085" max="14085" width="26.140625" style="32" customWidth="1"/>
    <col min="14086" max="14086" width="18.7109375" style="32" customWidth="1"/>
    <col min="14087" max="14087" width="11.85546875" style="32" customWidth="1"/>
    <col min="14088" max="14088" width="15" style="32" customWidth="1"/>
    <col min="14089" max="14089" width="14" style="32" customWidth="1"/>
    <col min="14090" max="14334" width="11.42578125" style="32"/>
    <col min="14335" max="14335" width="22.7109375" style="32" customWidth="1"/>
    <col min="14336" max="14336" width="26.5703125" style="32" customWidth="1"/>
    <col min="14337" max="14337" width="19.140625" style="32" customWidth="1"/>
    <col min="14338" max="14338" width="20.140625" style="32" customWidth="1"/>
    <col min="14339" max="14339" width="15.140625" style="32" customWidth="1"/>
    <col min="14340" max="14340" width="21.140625" style="32" customWidth="1"/>
    <col min="14341" max="14341" width="26.140625" style="32" customWidth="1"/>
    <col min="14342" max="14342" width="18.7109375" style="32" customWidth="1"/>
    <col min="14343" max="14343" width="11.85546875" style="32" customWidth="1"/>
    <col min="14344" max="14344" width="15" style="32" customWidth="1"/>
    <col min="14345" max="14345" width="14" style="32" customWidth="1"/>
    <col min="14346" max="14590" width="11.42578125" style="32"/>
    <col min="14591" max="14591" width="22.7109375" style="32" customWidth="1"/>
    <col min="14592" max="14592" width="26.5703125" style="32" customWidth="1"/>
    <col min="14593" max="14593" width="19.140625" style="32" customWidth="1"/>
    <col min="14594" max="14594" width="20.140625" style="32" customWidth="1"/>
    <col min="14595" max="14595" width="15.140625" style="32" customWidth="1"/>
    <col min="14596" max="14596" width="21.140625" style="32" customWidth="1"/>
    <col min="14597" max="14597" width="26.140625" style="32" customWidth="1"/>
    <col min="14598" max="14598" width="18.7109375" style="32" customWidth="1"/>
    <col min="14599" max="14599" width="11.85546875" style="32" customWidth="1"/>
    <col min="14600" max="14600" width="15" style="32" customWidth="1"/>
    <col min="14601" max="14601" width="14" style="32" customWidth="1"/>
    <col min="14602" max="14846" width="11.42578125" style="32"/>
    <col min="14847" max="14847" width="22.7109375" style="32" customWidth="1"/>
    <col min="14848" max="14848" width="26.5703125" style="32" customWidth="1"/>
    <col min="14849" max="14849" width="19.140625" style="32" customWidth="1"/>
    <col min="14850" max="14850" width="20.140625" style="32" customWidth="1"/>
    <col min="14851" max="14851" width="15.140625" style="32" customWidth="1"/>
    <col min="14852" max="14852" width="21.140625" style="32" customWidth="1"/>
    <col min="14853" max="14853" width="26.140625" style="32" customWidth="1"/>
    <col min="14854" max="14854" width="18.7109375" style="32" customWidth="1"/>
    <col min="14855" max="14855" width="11.85546875" style="32" customWidth="1"/>
    <col min="14856" max="14856" width="15" style="32" customWidth="1"/>
    <col min="14857" max="14857" width="14" style="32" customWidth="1"/>
    <col min="14858" max="15102" width="11.42578125" style="32"/>
    <col min="15103" max="15103" width="22.7109375" style="32" customWidth="1"/>
    <col min="15104" max="15104" width="26.5703125" style="32" customWidth="1"/>
    <col min="15105" max="15105" width="19.140625" style="32" customWidth="1"/>
    <col min="15106" max="15106" width="20.140625" style="32" customWidth="1"/>
    <col min="15107" max="15107" width="15.140625" style="32" customWidth="1"/>
    <col min="15108" max="15108" width="21.140625" style="32" customWidth="1"/>
    <col min="15109" max="15109" width="26.140625" style="32" customWidth="1"/>
    <col min="15110" max="15110" width="18.7109375" style="32" customWidth="1"/>
    <col min="15111" max="15111" width="11.85546875" style="32" customWidth="1"/>
    <col min="15112" max="15112" width="15" style="32" customWidth="1"/>
    <col min="15113" max="15113" width="14" style="32" customWidth="1"/>
    <col min="15114" max="15358" width="11.42578125" style="32"/>
    <col min="15359" max="15359" width="22.7109375" style="32" customWidth="1"/>
    <col min="15360" max="15360" width="26.5703125" style="32" customWidth="1"/>
    <col min="15361" max="15361" width="19.140625" style="32" customWidth="1"/>
    <col min="15362" max="15362" width="20.140625" style="32" customWidth="1"/>
    <col min="15363" max="15363" width="15.140625" style="32" customWidth="1"/>
    <col min="15364" max="15364" width="21.140625" style="32" customWidth="1"/>
    <col min="15365" max="15365" width="26.140625" style="32" customWidth="1"/>
    <col min="15366" max="15366" width="18.7109375" style="32" customWidth="1"/>
    <col min="15367" max="15367" width="11.85546875" style="32" customWidth="1"/>
    <col min="15368" max="15368" width="15" style="32" customWidth="1"/>
    <col min="15369" max="15369" width="14" style="32" customWidth="1"/>
    <col min="15370" max="15614" width="11.42578125" style="32"/>
    <col min="15615" max="15615" width="22.7109375" style="32" customWidth="1"/>
    <col min="15616" max="15616" width="26.5703125" style="32" customWidth="1"/>
    <col min="15617" max="15617" width="19.140625" style="32" customWidth="1"/>
    <col min="15618" max="15618" width="20.140625" style="32" customWidth="1"/>
    <col min="15619" max="15619" width="15.140625" style="32" customWidth="1"/>
    <col min="15620" max="15620" width="21.140625" style="32" customWidth="1"/>
    <col min="15621" max="15621" width="26.140625" style="32" customWidth="1"/>
    <col min="15622" max="15622" width="18.7109375" style="32" customWidth="1"/>
    <col min="15623" max="15623" width="11.85546875" style="32" customWidth="1"/>
    <col min="15624" max="15624" width="15" style="32" customWidth="1"/>
    <col min="15625" max="15625" width="14" style="32" customWidth="1"/>
    <col min="15626" max="15870" width="11.42578125" style="32"/>
    <col min="15871" max="15871" width="22.7109375" style="32" customWidth="1"/>
    <col min="15872" max="15872" width="26.5703125" style="32" customWidth="1"/>
    <col min="15873" max="15873" width="19.140625" style="32" customWidth="1"/>
    <col min="15874" max="15874" width="20.140625" style="32" customWidth="1"/>
    <col min="15875" max="15875" width="15.140625" style="32" customWidth="1"/>
    <col min="15876" max="15876" width="21.140625" style="32" customWidth="1"/>
    <col min="15877" max="15877" width="26.140625" style="32" customWidth="1"/>
    <col min="15878" max="15878" width="18.7109375" style="32" customWidth="1"/>
    <col min="15879" max="15879" width="11.85546875" style="32" customWidth="1"/>
    <col min="15880" max="15880" width="15" style="32" customWidth="1"/>
    <col min="15881" max="15881" width="14" style="32" customWidth="1"/>
    <col min="15882" max="16126" width="11.42578125" style="32"/>
    <col min="16127" max="16127" width="22.7109375" style="32" customWidth="1"/>
    <col min="16128" max="16128" width="26.5703125" style="32" customWidth="1"/>
    <col min="16129" max="16129" width="19.140625" style="32" customWidth="1"/>
    <col min="16130" max="16130" width="20.140625" style="32" customWidth="1"/>
    <col min="16131" max="16131" width="15.140625" style="32" customWidth="1"/>
    <col min="16132" max="16132" width="21.140625" style="32" customWidth="1"/>
    <col min="16133" max="16133" width="26.140625" style="32" customWidth="1"/>
    <col min="16134" max="16134" width="18.7109375" style="32" customWidth="1"/>
    <col min="16135" max="16135" width="11.85546875" style="32" customWidth="1"/>
    <col min="16136" max="16136" width="15" style="32" customWidth="1"/>
    <col min="16137" max="16137" width="14" style="32" customWidth="1"/>
    <col min="16138" max="16384" width="11.42578125" style="32"/>
  </cols>
  <sheetData>
    <row r="2" spans="1:26" ht="50.25" customHeight="1" x14ac:dyDescent="0.2">
      <c r="A2" s="2142" t="s">
        <v>67</v>
      </c>
      <c r="B2" s="2151" t="s">
        <v>327</v>
      </c>
      <c r="C2" s="2152"/>
      <c r="D2" s="2152"/>
      <c r="E2" s="2152"/>
      <c r="F2" s="2152"/>
      <c r="G2" s="2152"/>
      <c r="H2" s="2152"/>
      <c r="I2" s="2152"/>
      <c r="J2" s="2152"/>
    </row>
    <row r="3" spans="1:26" ht="43.5" customHeight="1" x14ac:dyDescent="0.2">
      <c r="A3" s="2143"/>
      <c r="B3" s="680">
        <v>2006</v>
      </c>
      <c r="C3" s="681">
        <v>2007</v>
      </c>
      <c r="D3" s="681">
        <v>2008</v>
      </c>
      <c r="E3" s="681">
        <v>2009</v>
      </c>
      <c r="F3" s="681">
        <v>2012</v>
      </c>
      <c r="G3" s="681">
        <v>2016</v>
      </c>
      <c r="H3" s="681">
        <v>2016</v>
      </c>
      <c r="I3" s="682">
        <v>2017</v>
      </c>
      <c r="J3" s="682">
        <v>2018</v>
      </c>
      <c r="K3" s="682">
        <v>2019</v>
      </c>
      <c r="L3" s="682">
        <v>2021</v>
      </c>
    </row>
    <row r="4" spans="1:26" ht="36" customHeight="1" x14ac:dyDescent="0.4">
      <c r="A4" s="2143"/>
      <c r="B4" s="607">
        <v>0.625</v>
      </c>
      <c r="C4" s="608">
        <v>0.72</v>
      </c>
      <c r="D4" s="609">
        <v>0.75139999999999996</v>
      </c>
      <c r="E4" s="609">
        <v>0.6804</v>
      </c>
      <c r="F4" s="609">
        <v>0.88519999999999999</v>
      </c>
      <c r="G4" s="610">
        <v>0.77</v>
      </c>
      <c r="H4" s="611">
        <v>0.77370000000000005</v>
      </c>
      <c r="I4" s="612">
        <v>0.75229999999999997</v>
      </c>
      <c r="J4" s="612"/>
      <c r="K4" s="612">
        <v>0.82599999999999996</v>
      </c>
      <c r="L4" s="613">
        <v>0.81</v>
      </c>
    </row>
    <row r="5" spans="1:26" ht="78" customHeight="1" thickBot="1" x14ac:dyDescent="0.25">
      <c r="A5" s="2143"/>
      <c r="B5" s="234" t="s">
        <v>430</v>
      </c>
      <c r="C5" s="235" t="s">
        <v>429</v>
      </c>
      <c r="D5" s="235" t="s">
        <v>428</v>
      </c>
      <c r="E5" s="235" t="s">
        <v>425</v>
      </c>
      <c r="F5" s="235" t="s">
        <v>426</v>
      </c>
      <c r="G5" s="235" t="s">
        <v>427</v>
      </c>
      <c r="H5" s="235" t="s">
        <v>427</v>
      </c>
      <c r="I5" s="236" t="s">
        <v>555</v>
      </c>
      <c r="J5" s="236" t="s">
        <v>623</v>
      </c>
      <c r="K5" s="236" t="s">
        <v>690</v>
      </c>
      <c r="L5" s="683" t="s">
        <v>929</v>
      </c>
    </row>
    <row r="6" spans="1:26" ht="36" customHeight="1" x14ac:dyDescent="0.4">
      <c r="A6" s="614"/>
      <c r="B6" s="614"/>
      <c r="C6" s="614"/>
      <c r="D6" s="614"/>
      <c r="E6" s="614"/>
      <c r="F6" s="614"/>
      <c r="G6" s="614"/>
      <c r="H6" s="614"/>
      <c r="I6" s="614"/>
      <c r="J6" s="615"/>
    </row>
    <row r="7" spans="1:26" ht="32.25" customHeight="1" thickBot="1" x14ac:dyDescent="0.25"/>
    <row r="8" spans="1:26" ht="21" thickBot="1" x14ac:dyDescent="0.35">
      <c r="A8" s="2144" t="s">
        <v>431</v>
      </c>
      <c r="B8" s="2147">
        <v>2008</v>
      </c>
      <c r="C8" s="2148"/>
      <c r="D8" s="2149"/>
      <c r="E8" s="2133">
        <v>2009</v>
      </c>
      <c r="F8" s="2134"/>
      <c r="G8" s="2134"/>
      <c r="H8" s="2133">
        <v>2012</v>
      </c>
      <c r="I8" s="2134"/>
      <c r="J8" s="2150"/>
      <c r="K8" s="2133">
        <v>2016</v>
      </c>
      <c r="L8" s="2134"/>
      <c r="M8" s="2134"/>
      <c r="N8" s="2135">
        <v>2017</v>
      </c>
      <c r="O8" s="2136"/>
      <c r="P8" s="2136"/>
      <c r="Q8" s="2136"/>
      <c r="R8" s="2136"/>
      <c r="S8" s="2125">
        <v>2019</v>
      </c>
      <c r="T8" s="2126"/>
      <c r="U8" s="2126"/>
      <c r="V8" s="2126"/>
      <c r="W8" s="2126"/>
      <c r="X8" s="2126"/>
      <c r="Y8" s="2127"/>
    </row>
    <row r="9" spans="1:26" ht="24" customHeight="1" x14ac:dyDescent="0.25">
      <c r="A9" s="2145"/>
      <c r="B9" s="1046" t="s">
        <v>68</v>
      </c>
      <c r="C9" s="1047" t="s">
        <v>69</v>
      </c>
      <c r="D9" s="1048" t="s">
        <v>70</v>
      </c>
      <c r="E9" s="616" t="s">
        <v>68</v>
      </c>
      <c r="F9" s="617" t="s">
        <v>69</v>
      </c>
      <c r="G9" s="618" t="s">
        <v>70</v>
      </c>
      <c r="H9" s="619" t="s">
        <v>701</v>
      </c>
      <c r="I9" s="620" t="s">
        <v>69</v>
      </c>
      <c r="J9" s="621" t="s">
        <v>702</v>
      </c>
      <c r="K9" s="619" t="s">
        <v>701</v>
      </c>
      <c r="L9" s="620" t="s">
        <v>69</v>
      </c>
      <c r="M9" s="621" t="s">
        <v>702</v>
      </c>
      <c r="N9" s="619" t="s">
        <v>701</v>
      </c>
      <c r="O9" s="620" t="s">
        <v>69</v>
      </c>
      <c r="P9" s="621" t="s">
        <v>702</v>
      </c>
      <c r="Q9" s="622" t="s">
        <v>556</v>
      </c>
      <c r="R9" s="623" t="s">
        <v>557</v>
      </c>
      <c r="S9" s="624" t="s">
        <v>68</v>
      </c>
      <c r="T9" s="625" t="s">
        <v>69</v>
      </c>
      <c r="U9" s="625" t="s">
        <v>70</v>
      </c>
      <c r="V9" s="625" t="s">
        <v>556</v>
      </c>
      <c r="W9" s="625" t="s">
        <v>557</v>
      </c>
      <c r="X9" s="626" t="s">
        <v>703</v>
      </c>
      <c r="Y9" s="626" t="s">
        <v>704</v>
      </c>
      <c r="Z9" s="627" t="s">
        <v>691</v>
      </c>
    </row>
    <row r="10" spans="1:26" ht="21" thickBot="1" x14ac:dyDescent="0.35">
      <c r="A10" s="2145"/>
      <c r="B10" s="628">
        <f>B11/7</f>
        <v>0.72857142857142854</v>
      </c>
      <c r="C10" s="629">
        <f>C11/7</f>
        <v>0.81428571428571428</v>
      </c>
      <c r="D10" s="630">
        <f>D11/7</f>
        <v>0.71142857142857152</v>
      </c>
      <c r="E10" s="630">
        <v>0.69799999999999995</v>
      </c>
      <c r="F10" s="629">
        <v>0.75429999999999997</v>
      </c>
      <c r="G10" s="631">
        <v>0.58879999999999999</v>
      </c>
      <c r="H10" s="632">
        <v>0.84840000000000004</v>
      </c>
      <c r="I10" s="633">
        <v>0.93620000000000003</v>
      </c>
      <c r="J10" s="634">
        <v>0.871</v>
      </c>
      <c r="K10" s="635">
        <f>B86</f>
        <v>0</v>
      </c>
      <c r="L10" s="636">
        <f>C86</f>
        <v>0</v>
      </c>
      <c r="M10" s="637">
        <f>D86</f>
        <v>0</v>
      </c>
      <c r="N10" s="2137">
        <v>0.75229999999999997</v>
      </c>
      <c r="O10" s="2138"/>
      <c r="P10" s="2138"/>
      <c r="Q10" s="2138"/>
      <c r="R10" s="2139"/>
      <c r="S10" s="433">
        <v>151</v>
      </c>
      <c r="T10" s="434">
        <v>311</v>
      </c>
      <c r="U10" s="434">
        <v>1975</v>
      </c>
      <c r="V10" s="434">
        <v>373</v>
      </c>
      <c r="W10" s="434">
        <v>9</v>
      </c>
      <c r="X10" s="435">
        <v>24</v>
      </c>
      <c r="Y10" s="435">
        <v>16</v>
      </c>
      <c r="Z10" s="431">
        <f>SUM(S10:Y10)</f>
        <v>2859</v>
      </c>
    </row>
    <row r="11" spans="1:26" ht="21" thickBot="1" x14ac:dyDescent="0.35">
      <c r="A11" s="2145"/>
      <c r="B11" s="158">
        <v>5.0999999999999996</v>
      </c>
      <c r="C11" s="159">
        <v>5.7</v>
      </c>
      <c r="D11" s="159">
        <v>4.9800000000000004</v>
      </c>
      <c r="E11" s="159">
        <v>3.64</v>
      </c>
      <c r="F11" s="159">
        <v>3.91</v>
      </c>
      <c r="G11" s="160">
        <v>3.55</v>
      </c>
      <c r="H11" s="161"/>
      <c r="I11" s="159"/>
      <c r="J11" s="162"/>
      <c r="K11" s="161"/>
      <c r="L11" s="159"/>
      <c r="M11" s="160"/>
      <c r="N11" s="2140">
        <v>3.76</v>
      </c>
      <c r="O11" s="2141"/>
      <c r="P11" s="2141"/>
      <c r="Q11" s="2141"/>
      <c r="R11" s="2125"/>
      <c r="S11" s="437">
        <v>4.2</v>
      </c>
      <c r="T11" s="437">
        <v>4.3</v>
      </c>
      <c r="U11" s="437">
        <v>3.9</v>
      </c>
      <c r="V11" s="432">
        <v>4.1500000000000004</v>
      </c>
      <c r="W11" s="437">
        <v>4.3</v>
      </c>
      <c r="X11" s="437">
        <v>4.3</v>
      </c>
      <c r="Y11" s="437">
        <v>4.3</v>
      </c>
    </row>
    <row r="12" spans="1:26" ht="54.75" customHeight="1" thickBot="1" x14ac:dyDescent="0.25">
      <c r="A12" s="2146"/>
      <c r="B12" s="2153">
        <f>AVERAGE(B10:D10)</f>
        <v>0.75142857142857145</v>
      </c>
      <c r="C12" s="2129"/>
      <c r="D12" s="2129"/>
      <c r="E12" s="2128">
        <f>AVERAGE(E10:G10)</f>
        <v>0.68036666666666668</v>
      </c>
      <c r="F12" s="2129"/>
      <c r="G12" s="2129"/>
      <c r="H12" s="2128">
        <f>AVERAGE(H10:J10)</f>
        <v>0.8852000000000001</v>
      </c>
      <c r="I12" s="2129"/>
      <c r="J12" s="2129"/>
      <c r="K12" s="2128">
        <f>AVERAGE(K10:M10)</f>
        <v>0</v>
      </c>
      <c r="L12" s="2129"/>
      <c r="M12" s="2130"/>
      <c r="N12" s="2131">
        <f>AVERAGE(N10:P10)</f>
        <v>0.75229999999999997</v>
      </c>
      <c r="O12" s="2132"/>
      <c r="P12" s="2132"/>
      <c r="Q12" s="2132"/>
      <c r="R12" s="2132"/>
      <c r="S12" s="436">
        <v>0.84</v>
      </c>
      <c r="T12" s="436">
        <v>0.86</v>
      </c>
      <c r="U12" s="436">
        <v>0.78</v>
      </c>
      <c r="V12" s="436">
        <v>0.83</v>
      </c>
      <c r="W12" s="436">
        <v>0.86</v>
      </c>
      <c r="X12" s="436">
        <v>0.86</v>
      </c>
      <c r="Y12" s="436">
        <v>0.86</v>
      </c>
      <c r="Z12" s="638"/>
    </row>
    <row r="14" spans="1:26" ht="23.25" hidden="1" x14ac:dyDescent="0.35">
      <c r="A14" s="2116">
        <v>2019</v>
      </c>
      <c r="B14" s="2116"/>
      <c r="C14" s="2116"/>
      <c r="D14" s="2116"/>
      <c r="E14" s="2116"/>
    </row>
    <row r="15" spans="1:26" ht="60.75" hidden="1" x14ac:dyDescent="0.2">
      <c r="A15" s="237" t="s">
        <v>559</v>
      </c>
      <c r="B15" s="238" t="s">
        <v>560</v>
      </c>
      <c r="C15" s="239" t="s">
        <v>561</v>
      </c>
      <c r="D15" s="239" t="s">
        <v>562</v>
      </c>
      <c r="E15" s="239" t="s">
        <v>563</v>
      </c>
    </row>
    <row r="16" spans="1:26" ht="37.5" hidden="1" x14ac:dyDescent="0.2">
      <c r="A16" s="239" t="s">
        <v>447</v>
      </c>
      <c r="B16" s="554">
        <v>4.1100000000000003</v>
      </c>
      <c r="C16" s="555">
        <v>0.82130000000000003</v>
      </c>
      <c r="D16" s="251">
        <v>2286</v>
      </c>
      <c r="E16" s="557" t="s">
        <v>695</v>
      </c>
    </row>
    <row r="17" spans="1:22" ht="31.5" hidden="1" x14ac:dyDescent="0.2">
      <c r="A17" s="239" t="s">
        <v>448</v>
      </c>
      <c r="B17" s="251">
        <v>4.0599999999999996</v>
      </c>
      <c r="C17" s="555">
        <v>0.81279999999999997</v>
      </c>
      <c r="D17" s="251">
        <v>2659</v>
      </c>
      <c r="E17" s="558" t="s">
        <v>697</v>
      </c>
    </row>
    <row r="18" spans="1:22" ht="37.5" hidden="1" x14ac:dyDescent="0.2">
      <c r="A18" s="239" t="s">
        <v>449</v>
      </c>
      <c r="B18" s="251">
        <v>4.1399999999999997</v>
      </c>
      <c r="C18" s="555">
        <v>0.82730000000000004</v>
      </c>
      <c r="D18" s="251">
        <v>382</v>
      </c>
      <c r="E18" s="557" t="s">
        <v>696</v>
      </c>
    </row>
    <row r="19" spans="1:22" ht="37.5" hidden="1" x14ac:dyDescent="0.2">
      <c r="A19" s="553" t="s">
        <v>450</v>
      </c>
      <c r="B19" s="552">
        <v>4.05</v>
      </c>
      <c r="C19" s="546">
        <v>0.80940000000000001</v>
      </c>
      <c r="D19" s="251">
        <v>2286</v>
      </c>
      <c r="E19" s="557" t="s">
        <v>695</v>
      </c>
    </row>
    <row r="20" spans="1:22" ht="93.75" hidden="1" customHeight="1" x14ac:dyDescent="0.2">
      <c r="A20" s="239" t="s">
        <v>109</v>
      </c>
      <c r="B20" s="251">
        <v>4.09</v>
      </c>
      <c r="C20" s="555">
        <v>0.81859999999999999</v>
      </c>
      <c r="D20" s="251">
        <v>2810</v>
      </c>
      <c r="E20" s="557" t="s">
        <v>698</v>
      </c>
    </row>
    <row r="21" spans="1:22" ht="96" hidden="1" customHeight="1" x14ac:dyDescent="0.25">
      <c r="A21" s="239" t="s">
        <v>461</v>
      </c>
      <c r="B21" s="251">
        <v>4.0199999999999996</v>
      </c>
      <c r="C21" s="555">
        <v>0.80349999999999999</v>
      </c>
      <c r="D21" s="251">
        <v>2810</v>
      </c>
      <c r="E21" s="639" t="s">
        <v>694</v>
      </c>
      <c r="H21" s="640" t="s">
        <v>736</v>
      </c>
      <c r="M21" s="641"/>
      <c r="N21" s="641"/>
      <c r="O21" s="641"/>
      <c r="P21" s="641"/>
      <c r="Q21" s="641"/>
    </row>
    <row r="22" spans="1:22" ht="88.5" hidden="1" customHeight="1" x14ac:dyDescent="0.2">
      <c r="A22" s="239" t="s">
        <v>472</v>
      </c>
      <c r="B22" s="554">
        <v>4.2</v>
      </c>
      <c r="C22" s="555">
        <v>0.83899999999999997</v>
      </c>
      <c r="D22" s="251">
        <v>2659</v>
      </c>
      <c r="E22" s="639" t="s">
        <v>699</v>
      </c>
      <c r="M22" s="642"/>
      <c r="N22" s="643"/>
      <c r="O22" s="643"/>
      <c r="P22" s="643"/>
      <c r="Q22" s="643"/>
    </row>
    <row r="23" spans="1:22" ht="60.75" hidden="1" customHeight="1" x14ac:dyDescent="0.25">
      <c r="A23" s="239" t="s">
        <v>258</v>
      </c>
      <c r="B23" s="552">
        <v>4.05</v>
      </c>
      <c r="C23" s="546">
        <v>0.80940000000000001</v>
      </c>
      <c r="D23" s="251">
        <v>2810</v>
      </c>
      <c r="E23" s="547" t="s">
        <v>694</v>
      </c>
      <c r="M23" s="644"/>
      <c r="N23" s="645"/>
      <c r="O23" s="645"/>
      <c r="P23" s="645"/>
      <c r="Q23" s="646"/>
    </row>
    <row r="24" spans="1:22" ht="57" hidden="1" customHeight="1" x14ac:dyDescent="0.25">
      <c r="A24" s="239" t="s">
        <v>693</v>
      </c>
      <c r="B24" s="545">
        <v>4.22</v>
      </c>
      <c r="C24" s="546">
        <v>0.84430000000000005</v>
      </c>
      <c r="D24" s="251">
        <v>2810</v>
      </c>
      <c r="E24" s="547" t="s">
        <v>694</v>
      </c>
      <c r="M24" s="647"/>
      <c r="N24" s="648"/>
      <c r="O24" s="648"/>
      <c r="P24" s="648"/>
    </row>
    <row r="25" spans="1:22" ht="78" hidden="1" customHeight="1" x14ac:dyDescent="0.25">
      <c r="A25" s="553" t="s">
        <v>259</v>
      </c>
      <c r="B25" s="545">
        <v>4.2</v>
      </c>
      <c r="C25" s="546">
        <v>0.84</v>
      </c>
      <c r="D25" s="251">
        <v>2810</v>
      </c>
      <c r="E25" s="547" t="s">
        <v>692</v>
      </c>
      <c r="H25" s="640" t="s">
        <v>735</v>
      </c>
      <c r="M25" s="649"/>
      <c r="N25" s="645"/>
      <c r="O25" s="645"/>
      <c r="P25" s="645"/>
      <c r="Q25" s="645"/>
    </row>
    <row r="26" spans="1:22" ht="40.5" hidden="1" x14ac:dyDescent="0.25">
      <c r="A26" s="239" t="s">
        <v>412</v>
      </c>
      <c r="B26" s="252"/>
      <c r="C26" s="253"/>
      <c r="D26" s="254"/>
      <c r="E26" s="240"/>
      <c r="M26" s="649"/>
      <c r="N26" s="648"/>
      <c r="O26" s="648"/>
      <c r="P26" s="650"/>
    </row>
    <row r="27" spans="1:22" ht="64.5" hidden="1" customHeight="1" x14ac:dyDescent="0.25">
      <c r="A27" s="255" t="s">
        <v>103</v>
      </c>
      <c r="B27" s="554">
        <v>4.24</v>
      </c>
      <c r="C27" s="555">
        <v>0.84789999999999999</v>
      </c>
      <c r="D27" s="251">
        <v>2810</v>
      </c>
      <c r="E27" s="547" t="s">
        <v>692</v>
      </c>
      <c r="M27" s="649"/>
      <c r="N27" s="645"/>
      <c r="O27" s="645"/>
      <c r="P27" s="645"/>
      <c r="Q27" s="645"/>
    </row>
    <row r="28" spans="1:22" ht="60.75" hidden="1" customHeight="1" x14ac:dyDescent="0.25">
      <c r="A28" s="255" t="s">
        <v>261</v>
      </c>
      <c r="B28" s="554">
        <v>4.0999999999999996</v>
      </c>
      <c r="C28" s="555">
        <v>0.82</v>
      </c>
      <c r="D28" s="251">
        <v>2810</v>
      </c>
      <c r="E28" s="547" t="s">
        <v>692</v>
      </c>
      <c r="M28" s="649"/>
      <c r="N28" s="648"/>
      <c r="O28" s="648"/>
      <c r="P28" s="648"/>
    </row>
    <row r="29" spans="1:22" ht="65.25" hidden="1" customHeight="1" x14ac:dyDescent="0.2">
      <c r="A29" s="255" t="s">
        <v>564</v>
      </c>
      <c r="B29" s="554">
        <v>4.22</v>
      </c>
      <c r="C29" s="555">
        <v>0.84419999999999995</v>
      </c>
      <c r="D29" s="251">
        <v>2810</v>
      </c>
      <c r="E29" s="547" t="s">
        <v>692</v>
      </c>
    </row>
    <row r="30" spans="1:22" ht="53.25" hidden="1" customHeight="1" x14ac:dyDescent="0.2">
      <c r="A30" s="255" t="s">
        <v>565</v>
      </c>
      <c r="B30" s="252"/>
      <c r="C30" s="253"/>
      <c r="D30" s="254"/>
      <c r="E30" s="254"/>
      <c r="M30" s="642"/>
      <c r="N30" s="643"/>
      <c r="O30" s="651"/>
      <c r="P30" s="651"/>
      <c r="Q30" s="651"/>
    </row>
    <row r="31" spans="1:22" ht="45.75" hidden="1" customHeight="1" x14ac:dyDescent="0.25">
      <c r="A31" s="256" t="s">
        <v>257</v>
      </c>
      <c r="B31" s="257"/>
      <c r="C31" s="258"/>
      <c r="D31" s="259"/>
      <c r="E31" s="259"/>
      <c r="M31" s="647"/>
      <c r="N31" s="645"/>
      <c r="O31" s="651"/>
      <c r="P31" s="651"/>
      <c r="Q31" s="651"/>
      <c r="R31" s="38"/>
      <c r="S31" s="38"/>
      <c r="U31" s="38"/>
      <c r="V31" s="38"/>
    </row>
    <row r="32" spans="1:22" ht="41.25" hidden="1" thickBot="1" x14ac:dyDescent="0.3">
      <c r="A32" s="239" t="s">
        <v>412</v>
      </c>
      <c r="B32" s="252"/>
      <c r="C32" s="253"/>
      <c r="D32" s="254"/>
      <c r="E32" s="240"/>
      <c r="M32" s="649"/>
      <c r="N32" s="648"/>
      <c r="O32" s="648"/>
      <c r="P32" s="650"/>
    </row>
    <row r="33" spans="1:20" ht="78" hidden="1" customHeight="1" thickBot="1" x14ac:dyDescent="0.3">
      <c r="A33" s="244" t="s">
        <v>566</v>
      </c>
      <c r="B33" s="260">
        <f>AVERAGE(B16:B31)</f>
        <v>4.1307692307692312</v>
      </c>
      <c r="C33" s="261">
        <f>AVERAGE(C16:C31)</f>
        <v>0.82597692307692305</v>
      </c>
      <c r="D33" s="251">
        <v>2859</v>
      </c>
      <c r="E33" s="262" t="s">
        <v>700</v>
      </c>
      <c r="M33" s="647"/>
      <c r="N33" s="648"/>
      <c r="O33" s="651"/>
      <c r="P33" s="651"/>
      <c r="Q33" s="651"/>
      <c r="R33" s="38"/>
      <c r="S33" s="38"/>
      <c r="T33" s="38"/>
    </row>
    <row r="34" spans="1:20" ht="24" customHeight="1" x14ac:dyDescent="0.35">
      <c r="A34" s="241"/>
      <c r="B34" s="652"/>
      <c r="C34" s="652"/>
      <c r="D34" s="652"/>
      <c r="E34" s="653"/>
      <c r="F34" s="242"/>
      <c r="G34" s="242"/>
      <c r="H34" s="242"/>
      <c r="M34" s="38"/>
      <c r="N34" s="38"/>
      <c r="O34" s="38"/>
      <c r="P34" s="38"/>
    </row>
    <row r="35" spans="1:20" ht="15.75" customHeight="1" thickBot="1" x14ac:dyDescent="0.3">
      <c r="G35" s="242"/>
      <c r="H35" s="242"/>
      <c r="M35" s="38"/>
      <c r="N35" s="38"/>
      <c r="O35" s="38"/>
      <c r="P35" s="38"/>
      <c r="Q35" s="38"/>
    </row>
    <row r="36" spans="1:20" customFormat="1" ht="24.75" customHeight="1" thickBot="1" x14ac:dyDescent="0.35">
      <c r="A36" s="2117" t="s">
        <v>928</v>
      </c>
      <c r="B36" s="2118"/>
      <c r="C36" s="2118"/>
      <c r="D36" s="2118"/>
      <c r="E36" s="2119"/>
      <c r="H36" s="2100" t="s">
        <v>1269</v>
      </c>
      <c r="I36" s="2101"/>
      <c r="J36" s="2101"/>
      <c r="K36" s="2102"/>
    </row>
    <row r="37" spans="1:20" customFormat="1" ht="34.5" customHeight="1" thickBot="1" x14ac:dyDescent="0.4">
      <c r="A37" s="2120" t="s">
        <v>870</v>
      </c>
      <c r="B37" s="2121"/>
      <c r="C37" s="2122" t="s">
        <v>871</v>
      </c>
      <c r="D37" s="2123" t="s">
        <v>872</v>
      </c>
      <c r="E37" s="2124"/>
      <c r="H37" s="2098" t="s">
        <v>1266</v>
      </c>
      <c r="I37" s="2099"/>
      <c r="J37" s="2099"/>
      <c r="K37" s="1265">
        <v>54</v>
      </c>
    </row>
    <row r="38" spans="1:20" customFormat="1" ht="42" x14ac:dyDescent="0.3">
      <c r="A38" s="2120"/>
      <c r="B38" s="2121"/>
      <c r="C38" s="2122"/>
      <c r="D38" s="718" t="s">
        <v>873</v>
      </c>
      <c r="E38" s="719" t="s">
        <v>874</v>
      </c>
      <c r="H38" s="2098" t="s">
        <v>1267</v>
      </c>
      <c r="I38" s="2099"/>
      <c r="J38" s="2099"/>
      <c r="K38" s="1265">
        <v>54</v>
      </c>
    </row>
    <row r="39" spans="1:20" customFormat="1" ht="27.75" customHeight="1" thickBot="1" x14ac:dyDescent="0.55000000000000004">
      <c r="A39" s="2110" t="s">
        <v>875</v>
      </c>
      <c r="B39" s="2110"/>
      <c r="C39" s="720">
        <v>334</v>
      </c>
      <c r="D39" s="721">
        <f>C52</f>
        <v>388</v>
      </c>
      <c r="E39" s="722">
        <f>C39-D39</f>
        <v>-54</v>
      </c>
      <c r="H39" s="2103" t="s">
        <v>1268</v>
      </c>
      <c r="I39" s="2104"/>
      <c r="J39" s="2104">
        <f>100%</f>
        <v>1</v>
      </c>
      <c r="K39" s="1266">
        <f>K37/K38</f>
        <v>1</v>
      </c>
    </row>
    <row r="40" spans="1:20" customFormat="1" ht="33.75" customHeight="1" x14ac:dyDescent="0.5">
      <c r="A40" s="2110" t="s">
        <v>876</v>
      </c>
      <c r="B40" s="2110"/>
      <c r="C40" s="720">
        <v>111</v>
      </c>
      <c r="D40" s="721">
        <f>F52</f>
        <v>38</v>
      </c>
      <c r="E40" s="722">
        <f>C40-D40</f>
        <v>73</v>
      </c>
    </row>
    <row r="41" spans="1:20" customFormat="1" ht="29.25" customHeight="1" x14ac:dyDescent="0.35">
      <c r="A41" s="2110" t="s">
        <v>877</v>
      </c>
      <c r="B41" s="2110"/>
      <c r="C41" s="2114">
        <v>67</v>
      </c>
      <c r="D41" s="723">
        <f>I52</f>
        <v>155</v>
      </c>
      <c r="E41" s="2115">
        <f>C41-D41</f>
        <v>-88</v>
      </c>
    </row>
    <row r="42" spans="1:20" customFormat="1" ht="32.25" customHeight="1" x14ac:dyDescent="0.35">
      <c r="A42" s="2110" t="s">
        <v>878</v>
      </c>
      <c r="B42" s="2110"/>
      <c r="C42" s="2114"/>
      <c r="D42" s="723">
        <f>L52</f>
        <v>6</v>
      </c>
      <c r="E42" s="2115"/>
    </row>
    <row r="43" spans="1:20" customFormat="1" ht="33.75" x14ac:dyDescent="0.5">
      <c r="A43" s="2110" t="s">
        <v>879</v>
      </c>
      <c r="B43" s="2110"/>
      <c r="C43" s="720">
        <v>44</v>
      </c>
      <c r="D43" s="721">
        <v>62</v>
      </c>
      <c r="E43" s="722">
        <f>C43-D43</f>
        <v>-18</v>
      </c>
    </row>
    <row r="44" spans="1:20" customFormat="1" ht="34.5" thickBot="1" x14ac:dyDescent="0.55000000000000004">
      <c r="A44" s="2111" t="s">
        <v>880</v>
      </c>
      <c r="B44" s="2112"/>
      <c r="C44" s="724">
        <f>SUM(C39:C43)</f>
        <v>556</v>
      </c>
      <c r="D44" s="725">
        <f>SUM(D39:D43)</f>
        <v>649</v>
      </c>
      <c r="E44" s="726">
        <f>D44-C44</f>
        <v>93</v>
      </c>
    </row>
    <row r="45" spans="1:20" customFormat="1" x14ac:dyDescent="0.2"/>
    <row r="46" spans="1:20" customFormat="1" x14ac:dyDescent="0.2"/>
    <row r="47" spans="1:20" customFormat="1" ht="39" customHeight="1" x14ac:dyDescent="0.2">
      <c r="B47" s="2113" t="s">
        <v>881</v>
      </c>
      <c r="C47" s="2113"/>
      <c r="E47" s="2105" t="s">
        <v>882</v>
      </c>
      <c r="F47" s="2106"/>
      <c r="H47" s="2105" t="s">
        <v>883</v>
      </c>
      <c r="I47" s="2106"/>
      <c r="K47" s="2105" t="s">
        <v>884</v>
      </c>
      <c r="L47" s="2106"/>
    </row>
    <row r="48" spans="1:20" customFormat="1" ht="17.25" customHeight="1" x14ac:dyDescent="0.2">
      <c r="B48" s="727" t="s">
        <v>885</v>
      </c>
      <c r="C48" s="728">
        <v>147</v>
      </c>
      <c r="D48" s="729"/>
      <c r="E48" s="730" t="s">
        <v>885</v>
      </c>
      <c r="F48" s="728">
        <v>3</v>
      </c>
      <c r="G48" s="731"/>
      <c r="H48" s="730" t="s">
        <v>885</v>
      </c>
      <c r="I48" s="728">
        <v>20</v>
      </c>
      <c r="J48" s="729"/>
      <c r="K48" s="730" t="s">
        <v>885</v>
      </c>
      <c r="L48" s="728">
        <v>0</v>
      </c>
      <c r="M48" s="729"/>
      <c r="N48" s="732"/>
    </row>
    <row r="49" spans="2:14" customFormat="1" ht="57.75" customHeight="1" x14ac:dyDescent="0.2">
      <c r="B49" s="727" t="s">
        <v>886</v>
      </c>
      <c r="C49" s="728">
        <v>105</v>
      </c>
      <c r="D49" s="729"/>
      <c r="E49" s="730" t="s">
        <v>886</v>
      </c>
      <c r="F49" s="728">
        <v>25</v>
      </c>
      <c r="G49" s="731"/>
      <c r="H49" s="730" t="s">
        <v>886</v>
      </c>
      <c r="I49" s="728">
        <v>25</v>
      </c>
      <c r="J49" s="729"/>
      <c r="K49" s="730" t="s">
        <v>886</v>
      </c>
      <c r="L49" s="728">
        <v>6</v>
      </c>
      <c r="M49" s="729"/>
      <c r="N49" s="732"/>
    </row>
    <row r="50" spans="2:14" customFormat="1" ht="36.75" customHeight="1" x14ac:dyDescent="0.2">
      <c r="B50" s="727" t="s">
        <v>887</v>
      </c>
      <c r="C50" s="728">
        <v>32</v>
      </c>
      <c r="D50" s="729"/>
      <c r="E50" s="730" t="s">
        <v>887</v>
      </c>
      <c r="F50" s="728">
        <v>9</v>
      </c>
      <c r="G50" s="731"/>
      <c r="H50" s="730" t="s">
        <v>887</v>
      </c>
      <c r="I50" s="728">
        <v>75</v>
      </c>
      <c r="J50" s="729"/>
      <c r="K50" s="730" t="s">
        <v>887</v>
      </c>
      <c r="L50" s="728">
        <v>0</v>
      </c>
      <c r="M50" s="729"/>
      <c r="N50" s="732"/>
    </row>
    <row r="51" spans="2:14" customFormat="1" ht="17.25" x14ac:dyDescent="0.2">
      <c r="B51" s="727" t="s">
        <v>888</v>
      </c>
      <c r="C51" s="728">
        <v>104</v>
      </c>
      <c r="D51" s="733"/>
      <c r="E51" s="730" t="s">
        <v>888</v>
      </c>
      <c r="F51" s="728">
        <v>1</v>
      </c>
      <c r="G51" s="731"/>
      <c r="H51" s="730" t="s">
        <v>888</v>
      </c>
      <c r="I51" s="728">
        <v>35</v>
      </c>
      <c r="J51" s="733"/>
      <c r="K51" s="730" t="s">
        <v>888</v>
      </c>
      <c r="L51" s="728">
        <v>0</v>
      </c>
      <c r="M51" s="733"/>
    </row>
    <row r="52" spans="2:14" customFormat="1" ht="20.25" x14ac:dyDescent="0.2">
      <c r="B52" s="734" t="s">
        <v>117</v>
      </c>
      <c r="C52" s="735">
        <f>SUM(C48:C51)</f>
        <v>388</v>
      </c>
      <c r="E52" s="736" t="s">
        <v>117</v>
      </c>
      <c r="F52" s="737">
        <f>SUM(F48:F51)</f>
        <v>38</v>
      </c>
      <c r="H52" s="736" t="s">
        <v>117</v>
      </c>
      <c r="I52" s="737">
        <f>SUM(I48:I51)</f>
        <v>155</v>
      </c>
      <c r="K52" s="736"/>
      <c r="L52" s="737">
        <f>SUM(L48:L51)</f>
        <v>6</v>
      </c>
    </row>
    <row r="53" spans="2:14" customFormat="1" x14ac:dyDescent="0.2">
      <c r="E53" s="732"/>
      <c r="F53" s="732"/>
      <c r="G53" s="732"/>
      <c r="H53" s="738"/>
    </row>
    <row r="54" spans="2:14" customFormat="1" ht="20.25" x14ac:dyDescent="0.2">
      <c r="B54" s="739"/>
      <c r="E54" s="732"/>
      <c r="F54" s="732"/>
      <c r="G54" s="732"/>
    </row>
    <row r="55" spans="2:14" customFormat="1" ht="44.25" customHeight="1" x14ac:dyDescent="0.2">
      <c r="B55" s="2107" t="s">
        <v>889</v>
      </c>
      <c r="C55" s="2108"/>
      <c r="E55" s="2105" t="s">
        <v>890</v>
      </c>
      <c r="F55" s="2109"/>
      <c r="H55" s="2105" t="s">
        <v>891</v>
      </c>
      <c r="I55" s="2106"/>
      <c r="K55" s="2105" t="s">
        <v>892</v>
      </c>
      <c r="L55" s="2106"/>
    </row>
    <row r="56" spans="2:14" customFormat="1" ht="34.5" customHeight="1" x14ac:dyDescent="0.2">
      <c r="B56" s="730" t="s">
        <v>893</v>
      </c>
      <c r="C56" s="728">
        <v>20</v>
      </c>
      <c r="D56" s="740"/>
      <c r="E56" s="741" t="s">
        <v>894</v>
      </c>
      <c r="F56" s="728">
        <v>0</v>
      </c>
      <c r="G56" s="742"/>
      <c r="H56" s="743" t="s">
        <v>893</v>
      </c>
      <c r="I56" s="728">
        <v>6</v>
      </c>
      <c r="J56" s="744"/>
      <c r="K56" s="741" t="s">
        <v>894</v>
      </c>
      <c r="L56" s="728">
        <v>0</v>
      </c>
      <c r="M56" s="740"/>
      <c r="N56" s="732"/>
    </row>
    <row r="57" spans="2:14" customFormat="1" ht="25.5" x14ac:dyDescent="0.2">
      <c r="B57" s="730" t="s">
        <v>895</v>
      </c>
      <c r="C57" s="728">
        <v>58</v>
      </c>
      <c r="D57" s="740"/>
      <c r="E57" s="745" t="s">
        <v>896</v>
      </c>
      <c r="F57" s="746">
        <v>5</v>
      </c>
      <c r="G57" s="742"/>
      <c r="H57" s="743" t="s">
        <v>895</v>
      </c>
      <c r="I57" s="728">
        <v>8</v>
      </c>
      <c r="J57" s="744"/>
      <c r="K57" s="745" t="s">
        <v>896</v>
      </c>
      <c r="L57" s="746">
        <v>4</v>
      </c>
      <c r="M57" s="740"/>
      <c r="N57" s="732"/>
    </row>
    <row r="58" spans="2:14" customFormat="1" ht="63.75" x14ac:dyDescent="0.2">
      <c r="B58" s="730" t="s">
        <v>897</v>
      </c>
      <c r="C58" s="728">
        <v>26</v>
      </c>
      <c r="D58" s="740"/>
      <c r="E58" s="741" t="s">
        <v>898</v>
      </c>
      <c r="F58" s="728">
        <v>0</v>
      </c>
      <c r="G58" s="742"/>
      <c r="H58" s="743" t="s">
        <v>897</v>
      </c>
      <c r="I58" s="728">
        <v>69</v>
      </c>
      <c r="J58" s="744"/>
      <c r="K58" s="741" t="s">
        <v>898</v>
      </c>
      <c r="L58" s="728">
        <v>0</v>
      </c>
      <c r="M58" s="740"/>
      <c r="N58" s="732"/>
    </row>
    <row r="59" spans="2:14" customFormat="1" ht="25.5" x14ac:dyDescent="0.2">
      <c r="B59" s="730" t="s">
        <v>899</v>
      </c>
      <c r="C59" s="728">
        <v>27</v>
      </c>
      <c r="D59" s="740"/>
      <c r="E59" s="741" t="s">
        <v>900</v>
      </c>
      <c r="F59" s="728">
        <v>0</v>
      </c>
      <c r="G59" s="742"/>
      <c r="H59" s="743" t="s">
        <v>899</v>
      </c>
      <c r="I59" s="728">
        <v>11</v>
      </c>
      <c r="J59" s="744"/>
      <c r="K59" s="741" t="s">
        <v>900</v>
      </c>
      <c r="L59" s="728">
        <v>0</v>
      </c>
      <c r="M59" s="740"/>
      <c r="N59" s="732"/>
    </row>
    <row r="60" spans="2:14" customFormat="1" ht="25.5" x14ac:dyDescent="0.2">
      <c r="B60" s="730" t="s">
        <v>901</v>
      </c>
      <c r="C60" s="728">
        <v>83</v>
      </c>
      <c r="D60" s="740"/>
      <c r="E60" s="741" t="s">
        <v>902</v>
      </c>
      <c r="F60" s="728">
        <v>0</v>
      </c>
      <c r="G60" s="742"/>
      <c r="H60" s="743" t="s">
        <v>901</v>
      </c>
      <c r="I60" s="728">
        <v>9</v>
      </c>
      <c r="J60" s="744"/>
      <c r="K60" s="741" t="s">
        <v>902</v>
      </c>
      <c r="L60" s="728">
        <v>0</v>
      </c>
      <c r="M60" s="740"/>
      <c r="N60" s="732"/>
    </row>
    <row r="61" spans="2:14" customFormat="1" ht="51" x14ac:dyDescent="0.2">
      <c r="B61" s="730" t="s">
        <v>903</v>
      </c>
      <c r="C61" s="728">
        <v>33</v>
      </c>
      <c r="D61" s="740"/>
      <c r="E61" s="741" t="s">
        <v>904</v>
      </c>
      <c r="F61" s="728">
        <v>0</v>
      </c>
      <c r="G61" s="742"/>
      <c r="H61" s="743" t="s">
        <v>903</v>
      </c>
      <c r="I61" s="728">
        <v>22</v>
      </c>
      <c r="J61" s="744"/>
      <c r="K61" s="741" t="s">
        <v>904</v>
      </c>
      <c r="L61" s="728">
        <v>0</v>
      </c>
      <c r="M61" s="740"/>
      <c r="N61" s="732"/>
    </row>
    <row r="62" spans="2:14" customFormat="1" ht="51" x14ac:dyDescent="0.2">
      <c r="B62" s="730" t="s">
        <v>905</v>
      </c>
      <c r="C62" s="728">
        <v>21</v>
      </c>
      <c r="D62" s="740"/>
      <c r="E62" s="745" t="s">
        <v>906</v>
      </c>
      <c r="F62" s="746">
        <v>8</v>
      </c>
      <c r="G62" s="742"/>
      <c r="H62" s="743" t="s">
        <v>905</v>
      </c>
      <c r="I62" s="728">
        <v>6</v>
      </c>
      <c r="J62" s="744"/>
      <c r="K62" s="741" t="s">
        <v>906</v>
      </c>
      <c r="L62" s="728">
        <v>0</v>
      </c>
      <c r="M62" s="740"/>
      <c r="N62" s="732"/>
    </row>
    <row r="63" spans="2:14" customFormat="1" ht="25.5" x14ac:dyDescent="0.2">
      <c r="B63" s="730" t="s">
        <v>907</v>
      </c>
      <c r="C63" s="728">
        <v>35</v>
      </c>
      <c r="D63" s="740"/>
      <c r="E63" s="741" t="s">
        <v>908</v>
      </c>
      <c r="F63" s="728">
        <v>0</v>
      </c>
      <c r="G63" s="742"/>
      <c r="H63" s="743" t="s">
        <v>907</v>
      </c>
      <c r="I63" s="728">
        <v>1</v>
      </c>
      <c r="J63" s="744"/>
      <c r="K63" s="741" t="s">
        <v>908</v>
      </c>
      <c r="L63" s="728">
        <v>0</v>
      </c>
      <c r="M63" s="740"/>
      <c r="N63" s="732"/>
    </row>
    <row r="64" spans="2:14" customFormat="1" ht="51" x14ac:dyDescent="0.2">
      <c r="B64" s="730" t="s">
        <v>909</v>
      </c>
      <c r="C64" s="728">
        <v>15</v>
      </c>
      <c r="D64" s="740"/>
      <c r="E64" s="741" t="s">
        <v>910</v>
      </c>
      <c r="F64" s="728">
        <v>0</v>
      </c>
      <c r="G64" s="742"/>
      <c r="H64" s="743" t="s">
        <v>909</v>
      </c>
      <c r="I64" s="728">
        <v>6</v>
      </c>
      <c r="J64" s="744"/>
      <c r="K64" s="741" t="s">
        <v>910</v>
      </c>
      <c r="L64" s="728">
        <v>0</v>
      </c>
      <c r="M64" s="740"/>
      <c r="N64" s="732"/>
    </row>
    <row r="65" spans="2:14" customFormat="1" ht="51" x14ac:dyDescent="0.2">
      <c r="B65" s="730" t="s">
        <v>911</v>
      </c>
      <c r="C65" s="728">
        <v>59</v>
      </c>
      <c r="D65" s="740"/>
      <c r="E65" s="745" t="s">
        <v>912</v>
      </c>
      <c r="F65" s="746">
        <v>1</v>
      </c>
      <c r="G65" s="742"/>
      <c r="H65" s="743" t="s">
        <v>911</v>
      </c>
      <c r="I65" s="728">
        <v>8</v>
      </c>
      <c r="J65" s="744"/>
      <c r="K65" s="741" t="s">
        <v>912</v>
      </c>
      <c r="L65" s="728">
        <v>0</v>
      </c>
      <c r="M65" s="740"/>
      <c r="N65" s="732"/>
    </row>
    <row r="66" spans="2:14" customFormat="1" ht="25.5" x14ac:dyDescent="0.2">
      <c r="B66" s="730" t="s">
        <v>913</v>
      </c>
      <c r="C66" s="728">
        <v>5</v>
      </c>
      <c r="D66" s="740"/>
      <c r="E66" s="741" t="s">
        <v>914</v>
      </c>
      <c r="F66" s="728">
        <v>0</v>
      </c>
      <c r="G66" s="742"/>
      <c r="H66" s="743" t="s">
        <v>913</v>
      </c>
      <c r="I66" s="728">
        <v>3</v>
      </c>
      <c r="J66" s="744"/>
      <c r="K66" s="741" t="s">
        <v>914</v>
      </c>
      <c r="L66" s="728">
        <v>0</v>
      </c>
      <c r="M66" s="740"/>
      <c r="N66" s="732"/>
    </row>
    <row r="67" spans="2:14" customFormat="1" ht="25.5" x14ac:dyDescent="0.2">
      <c r="B67" s="747" t="s">
        <v>915</v>
      </c>
      <c r="C67" s="728">
        <v>6</v>
      </c>
      <c r="D67" s="740"/>
      <c r="E67" s="741" t="s">
        <v>916</v>
      </c>
      <c r="F67" s="728">
        <v>0</v>
      </c>
      <c r="G67" s="742"/>
      <c r="H67" s="743" t="s">
        <v>915</v>
      </c>
      <c r="I67" s="728">
        <v>6</v>
      </c>
      <c r="J67" s="748"/>
      <c r="K67" s="741" t="s">
        <v>916</v>
      </c>
      <c r="L67" s="728">
        <v>0</v>
      </c>
      <c r="M67" s="740"/>
      <c r="N67" s="732"/>
    </row>
    <row r="68" spans="2:14" customFormat="1" ht="38.25" x14ac:dyDescent="0.25">
      <c r="D68" s="749"/>
      <c r="E68" s="745" t="s">
        <v>917</v>
      </c>
      <c r="F68" s="746">
        <v>11</v>
      </c>
      <c r="G68" s="742"/>
      <c r="J68" s="749"/>
      <c r="K68" s="741" t="s">
        <v>917</v>
      </c>
      <c r="L68" s="728">
        <v>0</v>
      </c>
      <c r="M68" s="740"/>
      <c r="N68" s="732"/>
    </row>
    <row r="69" spans="2:14" customFormat="1" ht="25.5" x14ac:dyDescent="0.2">
      <c r="E69" s="745" t="s">
        <v>918</v>
      </c>
      <c r="F69" s="746">
        <v>1</v>
      </c>
      <c r="G69" s="742"/>
      <c r="K69" s="741" t="s">
        <v>918</v>
      </c>
      <c r="L69" s="728">
        <v>0</v>
      </c>
      <c r="M69" s="740"/>
      <c r="N69" s="732"/>
    </row>
    <row r="70" spans="2:14" customFormat="1" ht="25.5" customHeight="1" x14ac:dyDescent="0.2">
      <c r="E70" s="745" t="s">
        <v>919</v>
      </c>
      <c r="F70" s="746">
        <v>2</v>
      </c>
      <c r="G70" s="742"/>
      <c r="H70" s="738"/>
      <c r="K70" s="745" t="s">
        <v>919</v>
      </c>
      <c r="L70" s="746">
        <v>1</v>
      </c>
      <c r="M70" s="740"/>
      <c r="N70" s="732"/>
    </row>
    <row r="71" spans="2:14" customFormat="1" ht="38.25" x14ac:dyDescent="0.2">
      <c r="E71" s="741" t="s">
        <v>920</v>
      </c>
      <c r="F71" s="728">
        <v>0</v>
      </c>
      <c r="G71" s="742"/>
      <c r="H71" s="738"/>
      <c r="K71" s="741" t="s">
        <v>920</v>
      </c>
      <c r="L71" s="728">
        <v>0</v>
      </c>
      <c r="M71" s="740"/>
      <c r="N71" s="732"/>
    </row>
    <row r="72" spans="2:14" customFormat="1" ht="25.5" customHeight="1" x14ac:dyDescent="0.2">
      <c r="E72" s="745" t="s">
        <v>921</v>
      </c>
      <c r="F72" s="746">
        <v>3</v>
      </c>
      <c r="G72" s="742"/>
      <c r="H72" s="738"/>
      <c r="K72" s="741" t="s">
        <v>921</v>
      </c>
      <c r="L72" s="728">
        <v>0</v>
      </c>
      <c r="M72" s="740"/>
      <c r="N72" s="732"/>
    </row>
    <row r="73" spans="2:14" customFormat="1" ht="25.5" customHeight="1" x14ac:dyDescent="0.2">
      <c r="E73" s="745" t="s">
        <v>922</v>
      </c>
      <c r="F73" s="746">
        <v>7</v>
      </c>
      <c r="G73" s="742"/>
      <c r="H73" s="738"/>
      <c r="K73" s="745" t="s">
        <v>922</v>
      </c>
      <c r="L73" s="746">
        <v>1</v>
      </c>
      <c r="M73" s="740"/>
      <c r="N73" s="732"/>
    </row>
    <row r="74" spans="2:14" customFormat="1" ht="38.25" x14ac:dyDescent="0.2">
      <c r="E74" s="741" t="s">
        <v>923</v>
      </c>
      <c r="F74" s="728">
        <v>0</v>
      </c>
      <c r="G74" s="742"/>
      <c r="H74" s="738"/>
      <c r="K74" s="741" t="s">
        <v>923</v>
      </c>
      <c r="L74" s="728">
        <v>0</v>
      </c>
      <c r="M74" s="740"/>
      <c r="N74" s="732"/>
    </row>
    <row r="75" spans="2:14" customFormat="1" ht="38.25" x14ac:dyDescent="0.2">
      <c r="E75" s="741" t="s">
        <v>924</v>
      </c>
      <c r="F75" s="728">
        <v>0</v>
      </c>
      <c r="G75" s="742"/>
      <c r="H75" s="738"/>
      <c r="K75" s="741" t="s">
        <v>924</v>
      </c>
      <c r="L75" s="728">
        <v>0</v>
      </c>
      <c r="M75" s="740"/>
      <c r="N75" s="732"/>
    </row>
    <row r="76" spans="2:14" customFormat="1" ht="25.5" x14ac:dyDescent="0.2">
      <c r="E76" s="741" t="s">
        <v>925</v>
      </c>
      <c r="F76" s="728">
        <v>0</v>
      </c>
      <c r="G76" s="742"/>
      <c r="H76" s="738"/>
      <c r="K76" s="741" t="s">
        <v>925</v>
      </c>
      <c r="L76" s="728">
        <v>0</v>
      </c>
      <c r="M76" s="740"/>
      <c r="N76" s="732"/>
    </row>
    <row r="77" spans="2:14" customFormat="1" ht="51" x14ac:dyDescent="0.2">
      <c r="E77" s="741" t="s">
        <v>926</v>
      </c>
      <c r="F77" s="728">
        <v>0</v>
      </c>
      <c r="G77" s="742"/>
      <c r="H77" s="738"/>
      <c r="K77" s="741" t="s">
        <v>926</v>
      </c>
      <c r="L77" s="728">
        <v>0</v>
      </c>
      <c r="M77" s="740"/>
      <c r="N77" s="732"/>
    </row>
    <row r="78" spans="2:14" customFormat="1" ht="25.5" x14ac:dyDescent="0.2">
      <c r="E78" s="741" t="s">
        <v>927</v>
      </c>
      <c r="F78" s="728">
        <v>0</v>
      </c>
      <c r="G78" s="742"/>
      <c r="H78" s="738"/>
      <c r="K78" s="741" t="s">
        <v>927</v>
      </c>
      <c r="L78" s="728">
        <v>0</v>
      </c>
      <c r="M78" s="740"/>
    </row>
    <row r="79" spans="2:14" customFormat="1" x14ac:dyDescent="0.2">
      <c r="H79" s="738"/>
    </row>
    <row r="80" spans="2:14" ht="24" customHeight="1" x14ac:dyDescent="0.2">
      <c r="G80" s="242"/>
      <c r="H80" s="242"/>
    </row>
    <row r="81" spans="7:8" ht="15.75" customHeight="1" x14ac:dyDescent="0.2">
      <c r="G81" s="242"/>
      <c r="H81" s="242"/>
    </row>
    <row r="82" spans="7:8" ht="24" customHeight="1" x14ac:dyDescent="0.2">
      <c r="G82" s="242"/>
      <c r="H82" s="242"/>
    </row>
    <row r="83" spans="7:8" ht="24" customHeight="1" x14ac:dyDescent="0.2">
      <c r="G83" s="242"/>
      <c r="H83" s="242"/>
    </row>
    <row r="84" spans="7:8" ht="24" customHeight="1" x14ac:dyDescent="0.2">
      <c r="G84" s="242"/>
      <c r="H84" s="242"/>
    </row>
    <row r="85" spans="7:8" x14ac:dyDescent="0.2">
      <c r="G85" s="242"/>
      <c r="H85" s="242"/>
    </row>
    <row r="86" spans="7:8" x14ac:dyDescent="0.2">
      <c r="G86" s="243"/>
      <c r="H86" s="242"/>
    </row>
    <row r="87" spans="7:8" ht="15.75" customHeight="1" x14ac:dyDescent="0.2">
      <c r="G87" s="242"/>
      <c r="H87" s="242"/>
    </row>
    <row r="88" spans="7:8" ht="25.5" customHeight="1" x14ac:dyDescent="0.2">
      <c r="G88" s="242"/>
      <c r="H88" s="242"/>
    </row>
    <row r="89" spans="7:8" ht="25.5" customHeight="1" x14ac:dyDescent="0.2"/>
    <row r="90" spans="7:8" ht="15.75" customHeight="1" x14ac:dyDescent="0.2"/>
    <row r="94" spans="7:8" ht="15.75" customHeight="1" x14ac:dyDescent="0.2"/>
    <row r="96" spans="7:8" ht="15.75" customHeight="1" x14ac:dyDescent="0.2"/>
  </sheetData>
  <mergeCells count="41">
    <mergeCell ref="A2:A5"/>
    <mergeCell ref="A8:A12"/>
    <mergeCell ref="B8:D8"/>
    <mergeCell ref="E8:G8"/>
    <mergeCell ref="H8:J8"/>
    <mergeCell ref="B2:J2"/>
    <mergeCell ref="B12:D12"/>
    <mergeCell ref="E12:G12"/>
    <mergeCell ref="H12:J12"/>
    <mergeCell ref="S8:Y8"/>
    <mergeCell ref="K12:M12"/>
    <mergeCell ref="N12:R12"/>
    <mergeCell ref="K8:M8"/>
    <mergeCell ref="N8:R8"/>
    <mergeCell ref="N10:R10"/>
    <mergeCell ref="N11:R11"/>
    <mergeCell ref="A14:E14"/>
    <mergeCell ref="A36:E36"/>
    <mergeCell ref="A37:B38"/>
    <mergeCell ref="C37:C38"/>
    <mergeCell ref="D37:E37"/>
    <mergeCell ref="A39:B39"/>
    <mergeCell ref="A40:B40"/>
    <mergeCell ref="A41:B41"/>
    <mergeCell ref="C41:C42"/>
    <mergeCell ref="E41:E42"/>
    <mergeCell ref="A42:B42"/>
    <mergeCell ref="B55:C55"/>
    <mergeCell ref="E55:F55"/>
    <mergeCell ref="H55:I55"/>
    <mergeCell ref="K55:L55"/>
    <mergeCell ref="A43:B43"/>
    <mergeCell ref="A44:B44"/>
    <mergeCell ref="B47:C47"/>
    <mergeCell ref="E47:F47"/>
    <mergeCell ref="H47:I47"/>
    <mergeCell ref="H37:J37"/>
    <mergeCell ref="H38:J38"/>
    <mergeCell ref="H36:K36"/>
    <mergeCell ref="H39:J39"/>
    <mergeCell ref="K47:L47"/>
  </mergeCells>
  <conditionalFormatting sqref="E39:E44">
    <cfRule type="colorScale" priority="1">
      <colorScale>
        <cfvo type="min"/>
        <cfvo type="max"/>
        <color rgb="FF63BE7B"/>
        <color rgb="FFFFEF9C"/>
      </colorScale>
    </cfRule>
    <cfRule type="dataBar" priority="2">
      <dataBar>
        <cfvo type="min"/>
        <cfvo type="max"/>
        <color rgb="FFFF555A"/>
      </dataBar>
      <extLst>
        <ext xmlns:x14="http://schemas.microsoft.com/office/spreadsheetml/2009/9/main" uri="{B025F937-C7B1-47D3-B67F-A62EFF666E3E}">
          <x14:id>{E00F413B-5724-4AB6-BF19-E6F238FE257E}</x14:id>
        </ext>
      </extLst>
    </cfRule>
  </conditionalFormatting>
  <pageMargins left="0.75" right="0.75" top="1" bottom="1" header="0" footer="0"/>
  <pageSetup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dataBar" id="{E00F413B-5724-4AB6-BF19-E6F238FE257E}">
            <x14:dataBar minLength="0" maxLength="100" border="1" negativeBarBorderColorSameAsPositive="0">
              <x14:cfvo type="autoMin"/>
              <x14:cfvo type="autoMax"/>
              <x14:borderColor rgb="FFFF555A"/>
              <x14:negativeFillColor rgb="FFFF0000"/>
              <x14:negativeBorderColor rgb="FFFF0000"/>
              <x14:axisColor rgb="FF000000"/>
            </x14:dataBar>
          </x14:cfRule>
          <xm:sqref>E39:E44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CCFF"/>
  </sheetPr>
  <dimension ref="A2:T62"/>
  <sheetViews>
    <sheetView topLeftCell="A3" zoomScale="60" zoomScaleNormal="60" workbookViewId="0">
      <selection activeCell="A15" sqref="A15:P15"/>
    </sheetView>
  </sheetViews>
  <sheetFormatPr baseColWidth="10" defaultRowHeight="12.75" x14ac:dyDescent="0.2"/>
  <cols>
    <col min="1" max="1" width="29.5703125" style="32" customWidth="1"/>
    <col min="2" max="2" width="19.7109375" style="32" customWidth="1"/>
    <col min="3" max="3" width="19.140625" style="32" customWidth="1"/>
    <col min="4" max="4" width="20.140625" style="32" customWidth="1"/>
    <col min="5" max="5" width="26.7109375" style="32" customWidth="1"/>
    <col min="6" max="6" width="21.140625" style="32" customWidth="1"/>
    <col min="7" max="7" width="21.140625" style="32" hidden="1" customWidth="1"/>
    <col min="8" max="8" width="20.42578125" style="32" customWidth="1"/>
    <col min="9" max="9" width="18.7109375" style="32" customWidth="1"/>
    <col min="10" max="10" width="22" style="32" customWidth="1"/>
    <col min="11" max="14" width="18.85546875" style="32" customWidth="1"/>
    <col min="15" max="15" width="16.5703125" style="32" customWidth="1"/>
    <col min="16" max="16" width="19.140625" style="32" customWidth="1"/>
    <col min="17" max="17" width="19" style="32" customWidth="1"/>
    <col min="18" max="18" width="21.5703125" style="32" customWidth="1"/>
    <col min="19" max="19" width="22.28515625" style="32" customWidth="1"/>
    <col min="20" max="20" width="15.140625" style="32" customWidth="1"/>
    <col min="21" max="21" width="11.42578125" style="32"/>
    <col min="22" max="22" width="20.5703125" style="32" customWidth="1"/>
    <col min="23" max="23" width="34.28515625" style="32" customWidth="1"/>
    <col min="24" max="254" width="11.42578125" style="32"/>
    <col min="255" max="255" width="22.7109375" style="32" customWidth="1"/>
    <col min="256" max="256" width="26.5703125" style="32" customWidth="1"/>
    <col min="257" max="257" width="19.140625" style="32" customWidth="1"/>
    <col min="258" max="258" width="20.140625" style="32" customWidth="1"/>
    <col min="259" max="259" width="15.140625" style="32" customWidth="1"/>
    <col min="260" max="260" width="21.140625" style="32" customWidth="1"/>
    <col min="261" max="261" width="26.140625" style="32" customWidth="1"/>
    <col min="262" max="262" width="18.7109375" style="32" customWidth="1"/>
    <col min="263" max="263" width="11.85546875" style="32" customWidth="1"/>
    <col min="264" max="264" width="15" style="32" customWidth="1"/>
    <col min="265" max="265" width="14" style="32" customWidth="1"/>
    <col min="266" max="510" width="11.42578125" style="32"/>
    <col min="511" max="511" width="22.7109375" style="32" customWidth="1"/>
    <col min="512" max="512" width="26.5703125" style="32" customWidth="1"/>
    <col min="513" max="513" width="19.140625" style="32" customWidth="1"/>
    <col min="514" max="514" width="20.140625" style="32" customWidth="1"/>
    <col min="515" max="515" width="15.140625" style="32" customWidth="1"/>
    <col min="516" max="516" width="21.140625" style="32" customWidth="1"/>
    <col min="517" max="517" width="26.140625" style="32" customWidth="1"/>
    <col min="518" max="518" width="18.7109375" style="32" customWidth="1"/>
    <col min="519" max="519" width="11.85546875" style="32" customWidth="1"/>
    <col min="520" max="520" width="15" style="32" customWidth="1"/>
    <col min="521" max="521" width="14" style="32" customWidth="1"/>
    <col min="522" max="766" width="11.42578125" style="32"/>
    <col min="767" max="767" width="22.7109375" style="32" customWidth="1"/>
    <col min="768" max="768" width="26.5703125" style="32" customWidth="1"/>
    <col min="769" max="769" width="19.140625" style="32" customWidth="1"/>
    <col min="770" max="770" width="20.140625" style="32" customWidth="1"/>
    <col min="771" max="771" width="15.140625" style="32" customWidth="1"/>
    <col min="772" max="772" width="21.140625" style="32" customWidth="1"/>
    <col min="773" max="773" width="26.140625" style="32" customWidth="1"/>
    <col min="774" max="774" width="18.7109375" style="32" customWidth="1"/>
    <col min="775" max="775" width="11.85546875" style="32" customWidth="1"/>
    <col min="776" max="776" width="15" style="32" customWidth="1"/>
    <col min="777" max="777" width="14" style="32" customWidth="1"/>
    <col min="778" max="1022" width="11.42578125" style="32"/>
    <col min="1023" max="1023" width="22.7109375" style="32" customWidth="1"/>
    <col min="1024" max="1024" width="26.5703125" style="32" customWidth="1"/>
    <col min="1025" max="1025" width="19.140625" style="32" customWidth="1"/>
    <col min="1026" max="1026" width="20.140625" style="32" customWidth="1"/>
    <col min="1027" max="1027" width="15.140625" style="32" customWidth="1"/>
    <col min="1028" max="1028" width="21.140625" style="32" customWidth="1"/>
    <col min="1029" max="1029" width="26.140625" style="32" customWidth="1"/>
    <col min="1030" max="1030" width="18.7109375" style="32" customWidth="1"/>
    <col min="1031" max="1031" width="11.85546875" style="32" customWidth="1"/>
    <col min="1032" max="1032" width="15" style="32" customWidth="1"/>
    <col min="1033" max="1033" width="14" style="32" customWidth="1"/>
    <col min="1034" max="1278" width="11.42578125" style="32"/>
    <col min="1279" max="1279" width="22.7109375" style="32" customWidth="1"/>
    <col min="1280" max="1280" width="26.5703125" style="32" customWidth="1"/>
    <col min="1281" max="1281" width="19.140625" style="32" customWidth="1"/>
    <col min="1282" max="1282" width="20.140625" style="32" customWidth="1"/>
    <col min="1283" max="1283" width="15.140625" style="32" customWidth="1"/>
    <col min="1284" max="1284" width="21.140625" style="32" customWidth="1"/>
    <col min="1285" max="1285" width="26.140625" style="32" customWidth="1"/>
    <col min="1286" max="1286" width="18.7109375" style="32" customWidth="1"/>
    <col min="1287" max="1287" width="11.85546875" style="32" customWidth="1"/>
    <col min="1288" max="1288" width="15" style="32" customWidth="1"/>
    <col min="1289" max="1289" width="14" style="32" customWidth="1"/>
    <col min="1290" max="1534" width="11.42578125" style="32"/>
    <col min="1535" max="1535" width="22.7109375" style="32" customWidth="1"/>
    <col min="1536" max="1536" width="26.5703125" style="32" customWidth="1"/>
    <col min="1537" max="1537" width="19.140625" style="32" customWidth="1"/>
    <col min="1538" max="1538" width="20.140625" style="32" customWidth="1"/>
    <col min="1539" max="1539" width="15.140625" style="32" customWidth="1"/>
    <col min="1540" max="1540" width="21.140625" style="32" customWidth="1"/>
    <col min="1541" max="1541" width="26.140625" style="32" customWidth="1"/>
    <col min="1542" max="1542" width="18.7109375" style="32" customWidth="1"/>
    <col min="1543" max="1543" width="11.85546875" style="32" customWidth="1"/>
    <col min="1544" max="1544" width="15" style="32" customWidth="1"/>
    <col min="1545" max="1545" width="14" style="32" customWidth="1"/>
    <col min="1546" max="1790" width="11.42578125" style="32"/>
    <col min="1791" max="1791" width="22.7109375" style="32" customWidth="1"/>
    <col min="1792" max="1792" width="26.5703125" style="32" customWidth="1"/>
    <col min="1793" max="1793" width="19.140625" style="32" customWidth="1"/>
    <col min="1794" max="1794" width="20.140625" style="32" customWidth="1"/>
    <col min="1795" max="1795" width="15.140625" style="32" customWidth="1"/>
    <col min="1796" max="1796" width="21.140625" style="32" customWidth="1"/>
    <col min="1797" max="1797" width="26.140625" style="32" customWidth="1"/>
    <col min="1798" max="1798" width="18.7109375" style="32" customWidth="1"/>
    <col min="1799" max="1799" width="11.85546875" style="32" customWidth="1"/>
    <col min="1800" max="1800" width="15" style="32" customWidth="1"/>
    <col min="1801" max="1801" width="14" style="32" customWidth="1"/>
    <col min="1802" max="2046" width="11.42578125" style="32"/>
    <col min="2047" max="2047" width="22.7109375" style="32" customWidth="1"/>
    <col min="2048" max="2048" width="26.5703125" style="32" customWidth="1"/>
    <col min="2049" max="2049" width="19.140625" style="32" customWidth="1"/>
    <col min="2050" max="2050" width="20.140625" style="32" customWidth="1"/>
    <col min="2051" max="2051" width="15.140625" style="32" customWidth="1"/>
    <col min="2052" max="2052" width="21.140625" style="32" customWidth="1"/>
    <col min="2053" max="2053" width="26.140625" style="32" customWidth="1"/>
    <col min="2054" max="2054" width="18.7109375" style="32" customWidth="1"/>
    <col min="2055" max="2055" width="11.85546875" style="32" customWidth="1"/>
    <col min="2056" max="2056" width="15" style="32" customWidth="1"/>
    <col min="2057" max="2057" width="14" style="32" customWidth="1"/>
    <col min="2058" max="2302" width="11.42578125" style="32"/>
    <col min="2303" max="2303" width="22.7109375" style="32" customWidth="1"/>
    <col min="2304" max="2304" width="26.5703125" style="32" customWidth="1"/>
    <col min="2305" max="2305" width="19.140625" style="32" customWidth="1"/>
    <col min="2306" max="2306" width="20.140625" style="32" customWidth="1"/>
    <col min="2307" max="2307" width="15.140625" style="32" customWidth="1"/>
    <col min="2308" max="2308" width="21.140625" style="32" customWidth="1"/>
    <col min="2309" max="2309" width="26.140625" style="32" customWidth="1"/>
    <col min="2310" max="2310" width="18.7109375" style="32" customWidth="1"/>
    <col min="2311" max="2311" width="11.85546875" style="32" customWidth="1"/>
    <col min="2312" max="2312" width="15" style="32" customWidth="1"/>
    <col min="2313" max="2313" width="14" style="32" customWidth="1"/>
    <col min="2314" max="2558" width="11.42578125" style="32"/>
    <col min="2559" max="2559" width="22.7109375" style="32" customWidth="1"/>
    <col min="2560" max="2560" width="26.5703125" style="32" customWidth="1"/>
    <col min="2561" max="2561" width="19.140625" style="32" customWidth="1"/>
    <col min="2562" max="2562" width="20.140625" style="32" customWidth="1"/>
    <col min="2563" max="2563" width="15.140625" style="32" customWidth="1"/>
    <col min="2564" max="2564" width="21.140625" style="32" customWidth="1"/>
    <col min="2565" max="2565" width="26.140625" style="32" customWidth="1"/>
    <col min="2566" max="2566" width="18.7109375" style="32" customWidth="1"/>
    <col min="2567" max="2567" width="11.85546875" style="32" customWidth="1"/>
    <col min="2568" max="2568" width="15" style="32" customWidth="1"/>
    <col min="2569" max="2569" width="14" style="32" customWidth="1"/>
    <col min="2570" max="2814" width="11.42578125" style="32"/>
    <col min="2815" max="2815" width="22.7109375" style="32" customWidth="1"/>
    <col min="2816" max="2816" width="26.5703125" style="32" customWidth="1"/>
    <col min="2817" max="2817" width="19.140625" style="32" customWidth="1"/>
    <col min="2818" max="2818" width="20.140625" style="32" customWidth="1"/>
    <col min="2819" max="2819" width="15.140625" style="32" customWidth="1"/>
    <col min="2820" max="2820" width="21.140625" style="32" customWidth="1"/>
    <col min="2821" max="2821" width="26.140625" style="32" customWidth="1"/>
    <col min="2822" max="2822" width="18.7109375" style="32" customWidth="1"/>
    <col min="2823" max="2823" width="11.85546875" style="32" customWidth="1"/>
    <col min="2824" max="2824" width="15" style="32" customWidth="1"/>
    <col min="2825" max="2825" width="14" style="32" customWidth="1"/>
    <col min="2826" max="3070" width="11.42578125" style="32"/>
    <col min="3071" max="3071" width="22.7109375" style="32" customWidth="1"/>
    <col min="3072" max="3072" width="26.5703125" style="32" customWidth="1"/>
    <col min="3073" max="3073" width="19.140625" style="32" customWidth="1"/>
    <col min="3074" max="3074" width="20.140625" style="32" customWidth="1"/>
    <col min="3075" max="3075" width="15.140625" style="32" customWidth="1"/>
    <col min="3076" max="3076" width="21.140625" style="32" customWidth="1"/>
    <col min="3077" max="3077" width="26.140625" style="32" customWidth="1"/>
    <col min="3078" max="3078" width="18.7109375" style="32" customWidth="1"/>
    <col min="3079" max="3079" width="11.85546875" style="32" customWidth="1"/>
    <col min="3080" max="3080" width="15" style="32" customWidth="1"/>
    <col min="3081" max="3081" width="14" style="32" customWidth="1"/>
    <col min="3082" max="3326" width="11.42578125" style="32"/>
    <col min="3327" max="3327" width="22.7109375" style="32" customWidth="1"/>
    <col min="3328" max="3328" width="26.5703125" style="32" customWidth="1"/>
    <col min="3329" max="3329" width="19.140625" style="32" customWidth="1"/>
    <col min="3330" max="3330" width="20.140625" style="32" customWidth="1"/>
    <col min="3331" max="3331" width="15.140625" style="32" customWidth="1"/>
    <col min="3332" max="3332" width="21.140625" style="32" customWidth="1"/>
    <col min="3333" max="3333" width="26.140625" style="32" customWidth="1"/>
    <col min="3334" max="3334" width="18.7109375" style="32" customWidth="1"/>
    <col min="3335" max="3335" width="11.85546875" style="32" customWidth="1"/>
    <col min="3336" max="3336" width="15" style="32" customWidth="1"/>
    <col min="3337" max="3337" width="14" style="32" customWidth="1"/>
    <col min="3338" max="3582" width="11.42578125" style="32"/>
    <col min="3583" max="3583" width="22.7109375" style="32" customWidth="1"/>
    <col min="3584" max="3584" width="26.5703125" style="32" customWidth="1"/>
    <col min="3585" max="3585" width="19.140625" style="32" customWidth="1"/>
    <col min="3586" max="3586" width="20.140625" style="32" customWidth="1"/>
    <col min="3587" max="3587" width="15.140625" style="32" customWidth="1"/>
    <col min="3588" max="3588" width="21.140625" style="32" customWidth="1"/>
    <col min="3589" max="3589" width="26.140625" style="32" customWidth="1"/>
    <col min="3590" max="3590" width="18.7109375" style="32" customWidth="1"/>
    <col min="3591" max="3591" width="11.85546875" style="32" customWidth="1"/>
    <col min="3592" max="3592" width="15" style="32" customWidth="1"/>
    <col min="3593" max="3593" width="14" style="32" customWidth="1"/>
    <col min="3594" max="3838" width="11.42578125" style="32"/>
    <col min="3839" max="3839" width="22.7109375" style="32" customWidth="1"/>
    <col min="3840" max="3840" width="26.5703125" style="32" customWidth="1"/>
    <col min="3841" max="3841" width="19.140625" style="32" customWidth="1"/>
    <col min="3842" max="3842" width="20.140625" style="32" customWidth="1"/>
    <col min="3843" max="3843" width="15.140625" style="32" customWidth="1"/>
    <col min="3844" max="3844" width="21.140625" style="32" customWidth="1"/>
    <col min="3845" max="3845" width="26.140625" style="32" customWidth="1"/>
    <col min="3846" max="3846" width="18.7109375" style="32" customWidth="1"/>
    <col min="3847" max="3847" width="11.85546875" style="32" customWidth="1"/>
    <col min="3848" max="3848" width="15" style="32" customWidth="1"/>
    <col min="3849" max="3849" width="14" style="32" customWidth="1"/>
    <col min="3850" max="4094" width="11.42578125" style="32"/>
    <col min="4095" max="4095" width="22.7109375" style="32" customWidth="1"/>
    <col min="4096" max="4096" width="26.5703125" style="32" customWidth="1"/>
    <col min="4097" max="4097" width="19.140625" style="32" customWidth="1"/>
    <col min="4098" max="4098" width="20.140625" style="32" customWidth="1"/>
    <col min="4099" max="4099" width="15.140625" style="32" customWidth="1"/>
    <col min="4100" max="4100" width="21.140625" style="32" customWidth="1"/>
    <col min="4101" max="4101" width="26.140625" style="32" customWidth="1"/>
    <col min="4102" max="4102" width="18.7109375" style="32" customWidth="1"/>
    <col min="4103" max="4103" width="11.85546875" style="32" customWidth="1"/>
    <col min="4104" max="4104" width="15" style="32" customWidth="1"/>
    <col min="4105" max="4105" width="14" style="32" customWidth="1"/>
    <col min="4106" max="4350" width="11.42578125" style="32"/>
    <col min="4351" max="4351" width="22.7109375" style="32" customWidth="1"/>
    <col min="4352" max="4352" width="26.5703125" style="32" customWidth="1"/>
    <col min="4353" max="4353" width="19.140625" style="32" customWidth="1"/>
    <col min="4354" max="4354" width="20.140625" style="32" customWidth="1"/>
    <col min="4355" max="4355" width="15.140625" style="32" customWidth="1"/>
    <col min="4356" max="4356" width="21.140625" style="32" customWidth="1"/>
    <col min="4357" max="4357" width="26.140625" style="32" customWidth="1"/>
    <col min="4358" max="4358" width="18.7109375" style="32" customWidth="1"/>
    <col min="4359" max="4359" width="11.85546875" style="32" customWidth="1"/>
    <col min="4360" max="4360" width="15" style="32" customWidth="1"/>
    <col min="4361" max="4361" width="14" style="32" customWidth="1"/>
    <col min="4362" max="4606" width="11.42578125" style="32"/>
    <col min="4607" max="4607" width="22.7109375" style="32" customWidth="1"/>
    <col min="4608" max="4608" width="26.5703125" style="32" customWidth="1"/>
    <col min="4609" max="4609" width="19.140625" style="32" customWidth="1"/>
    <col min="4610" max="4610" width="20.140625" style="32" customWidth="1"/>
    <col min="4611" max="4611" width="15.140625" style="32" customWidth="1"/>
    <col min="4612" max="4612" width="21.140625" style="32" customWidth="1"/>
    <col min="4613" max="4613" width="26.140625" style="32" customWidth="1"/>
    <col min="4614" max="4614" width="18.7109375" style="32" customWidth="1"/>
    <col min="4615" max="4615" width="11.85546875" style="32" customWidth="1"/>
    <col min="4616" max="4616" width="15" style="32" customWidth="1"/>
    <col min="4617" max="4617" width="14" style="32" customWidth="1"/>
    <col min="4618" max="4862" width="11.42578125" style="32"/>
    <col min="4863" max="4863" width="22.7109375" style="32" customWidth="1"/>
    <col min="4864" max="4864" width="26.5703125" style="32" customWidth="1"/>
    <col min="4865" max="4865" width="19.140625" style="32" customWidth="1"/>
    <col min="4866" max="4866" width="20.140625" style="32" customWidth="1"/>
    <col min="4867" max="4867" width="15.140625" style="32" customWidth="1"/>
    <col min="4868" max="4868" width="21.140625" style="32" customWidth="1"/>
    <col min="4869" max="4869" width="26.140625" style="32" customWidth="1"/>
    <col min="4870" max="4870" width="18.7109375" style="32" customWidth="1"/>
    <col min="4871" max="4871" width="11.85546875" style="32" customWidth="1"/>
    <col min="4872" max="4872" width="15" style="32" customWidth="1"/>
    <col min="4873" max="4873" width="14" style="32" customWidth="1"/>
    <col min="4874" max="5118" width="11.42578125" style="32"/>
    <col min="5119" max="5119" width="22.7109375" style="32" customWidth="1"/>
    <col min="5120" max="5120" width="26.5703125" style="32" customWidth="1"/>
    <col min="5121" max="5121" width="19.140625" style="32" customWidth="1"/>
    <col min="5122" max="5122" width="20.140625" style="32" customWidth="1"/>
    <col min="5123" max="5123" width="15.140625" style="32" customWidth="1"/>
    <col min="5124" max="5124" width="21.140625" style="32" customWidth="1"/>
    <col min="5125" max="5125" width="26.140625" style="32" customWidth="1"/>
    <col min="5126" max="5126" width="18.7109375" style="32" customWidth="1"/>
    <col min="5127" max="5127" width="11.85546875" style="32" customWidth="1"/>
    <col min="5128" max="5128" width="15" style="32" customWidth="1"/>
    <col min="5129" max="5129" width="14" style="32" customWidth="1"/>
    <col min="5130" max="5374" width="11.42578125" style="32"/>
    <col min="5375" max="5375" width="22.7109375" style="32" customWidth="1"/>
    <col min="5376" max="5376" width="26.5703125" style="32" customWidth="1"/>
    <col min="5377" max="5377" width="19.140625" style="32" customWidth="1"/>
    <col min="5378" max="5378" width="20.140625" style="32" customWidth="1"/>
    <col min="5379" max="5379" width="15.140625" style="32" customWidth="1"/>
    <col min="5380" max="5380" width="21.140625" style="32" customWidth="1"/>
    <col min="5381" max="5381" width="26.140625" style="32" customWidth="1"/>
    <col min="5382" max="5382" width="18.7109375" style="32" customWidth="1"/>
    <col min="5383" max="5383" width="11.85546875" style="32" customWidth="1"/>
    <col min="5384" max="5384" width="15" style="32" customWidth="1"/>
    <col min="5385" max="5385" width="14" style="32" customWidth="1"/>
    <col min="5386" max="5630" width="11.42578125" style="32"/>
    <col min="5631" max="5631" width="22.7109375" style="32" customWidth="1"/>
    <col min="5632" max="5632" width="26.5703125" style="32" customWidth="1"/>
    <col min="5633" max="5633" width="19.140625" style="32" customWidth="1"/>
    <col min="5634" max="5634" width="20.140625" style="32" customWidth="1"/>
    <col min="5635" max="5635" width="15.140625" style="32" customWidth="1"/>
    <col min="5636" max="5636" width="21.140625" style="32" customWidth="1"/>
    <col min="5637" max="5637" width="26.140625" style="32" customWidth="1"/>
    <col min="5638" max="5638" width="18.7109375" style="32" customWidth="1"/>
    <col min="5639" max="5639" width="11.85546875" style="32" customWidth="1"/>
    <col min="5640" max="5640" width="15" style="32" customWidth="1"/>
    <col min="5641" max="5641" width="14" style="32" customWidth="1"/>
    <col min="5642" max="5886" width="11.42578125" style="32"/>
    <col min="5887" max="5887" width="22.7109375" style="32" customWidth="1"/>
    <col min="5888" max="5888" width="26.5703125" style="32" customWidth="1"/>
    <col min="5889" max="5889" width="19.140625" style="32" customWidth="1"/>
    <col min="5890" max="5890" width="20.140625" style="32" customWidth="1"/>
    <col min="5891" max="5891" width="15.140625" style="32" customWidth="1"/>
    <col min="5892" max="5892" width="21.140625" style="32" customWidth="1"/>
    <col min="5893" max="5893" width="26.140625" style="32" customWidth="1"/>
    <col min="5894" max="5894" width="18.7109375" style="32" customWidth="1"/>
    <col min="5895" max="5895" width="11.85546875" style="32" customWidth="1"/>
    <col min="5896" max="5896" width="15" style="32" customWidth="1"/>
    <col min="5897" max="5897" width="14" style="32" customWidth="1"/>
    <col min="5898" max="6142" width="11.42578125" style="32"/>
    <col min="6143" max="6143" width="22.7109375" style="32" customWidth="1"/>
    <col min="6144" max="6144" width="26.5703125" style="32" customWidth="1"/>
    <col min="6145" max="6145" width="19.140625" style="32" customWidth="1"/>
    <col min="6146" max="6146" width="20.140625" style="32" customWidth="1"/>
    <col min="6147" max="6147" width="15.140625" style="32" customWidth="1"/>
    <col min="6148" max="6148" width="21.140625" style="32" customWidth="1"/>
    <col min="6149" max="6149" width="26.140625" style="32" customWidth="1"/>
    <col min="6150" max="6150" width="18.7109375" style="32" customWidth="1"/>
    <col min="6151" max="6151" width="11.85546875" style="32" customWidth="1"/>
    <col min="6152" max="6152" width="15" style="32" customWidth="1"/>
    <col min="6153" max="6153" width="14" style="32" customWidth="1"/>
    <col min="6154" max="6398" width="11.42578125" style="32"/>
    <col min="6399" max="6399" width="22.7109375" style="32" customWidth="1"/>
    <col min="6400" max="6400" width="26.5703125" style="32" customWidth="1"/>
    <col min="6401" max="6401" width="19.140625" style="32" customWidth="1"/>
    <col min="6402" max="6402" width="20.140625" style="32" customWidth="1"/>
    <col min="6403" max="6403" width="15.140625" style="32" customWidth="1"/>
    <col min="6404" max="6404" width="21.140625" style="32" customWidth="1"/>
    <col min="6405" max="6405" width="26.140625" style="32" customWidth="1"/>
    <col min="6406" max="6406" width="18.7109375" style="32" customWidth="1"/>
    <col min="6407" max="6407" width="11.85546875" style="32" customWidth="1"/>
    <col min="6408" max="6408" width="15" style="32" customWidth="1"/>
    <col min="6409" max="6409" width="14" style="32" customWidth="1"/>
    <col min="6410" max="6654" width="11.42578125" style="32"/>
    <col min="6655" max="6655" width="22.7109375" style="32" customWidth="1"/>
    <col min="6656" max="6656" width="26.5703125" style="32" customWidth="1"/>
    <col min="6657" max="6657" width="19.140625" style="32" customWidth="1"/>
    <col min="6658" max="6658" width="20.140625" style="32" customWidth="1"/>
    <col min="6659" max="6659" width="15.140625" style="32" customWidth="1"/>
    <col min="6660" max="6660" width="21.140625" style="32" customWidth="1"/>
    <col min="6661" max="6661" width="26.140625" style="32" customWidth="1"/>
    <col min="6662" max="6662" width="18.7109375" style="32" customWidth="1"/>
    <col min="6663" max="6663" width="11.85546875" style="32" customWidth="1"/>
    <col min="6664" max="6664" width="15" style="32" customWidth="1"/>
    <col min="6665" max="6665" width="14" style="32" customWidth="1"/>
    <col min="6666" max="6910" width="11.42578125" style="32"/>
    <col min="6911" max="6911" width="22.7109375" style="32" customWidth="1"/>
    <col min="6912" max="6912" width="26.5703125" style="32" customWidth="1"/>
    <col min="6913" max="6913" width="19.140625" style="32" customWidth="1"/>
    <col min="6914" max="6914" width="20.140625" style="32" customWidth="1"/>
    <col min="6915" max="6915" width="15.140625" style="32" customWidth="1"/>
    <col min="6916" max="6916" width="21.140625" style="32" customWidth="1"/>
    <col min="6917" max="6917" width="26.140625" style="32" customWidth="1"/>
    <col min="6918" max="6918" width="18.7109375" style="32" customWidth="1"/>
    <col min="6919" max="6919" width="11.85546875" style="32" customWidth="1"/>
    <col min="6920" max="6920" width="15" style="32" customWidth="1"/>
    <col min="6921" max="6921" width="14" style="32" customWidth="1"/>
    <col min="6922" max="7166" width="11.42578125" style="32"/>
    <col min="7167" max="7167" width="22.7109375" style="32" customWidth="1"/>
    <col min="7168" max="7168" width="26.5703125" style="32" customWidth="1"/>
    <col min="7169" max="7169" width="19.140625" style="32" customWidth="1"/>
    <col min="7170" max="7170" width="20.140625" style="32" customWidth="1"/>
    <col min="7171" max="7171" width="15.140625" style="32" customWidth="1"/>
    <col min="7172" max="7172" width="21.140625" style="32" customWidth="1"/>
    <col min="7173" max="7173" width="26.140625" style="32" customWidth="1"/>
    <col min="7174" max="7174" width="18.7109375" style="32" customWidth="1"/>
    <col min="7175" max="7175" width="11.85546875" style="32" customWidth="1"/>
    <col min="7176" max="7176" width="15" style="32" customWidth="1"/>
    <col min="7177" max="7177" width="14" style="32" customWidth="1"/>
    <col min="7178" max="7422" width="11.42578125" style="32"/>
    <col min="7423" max="7423" width="22.7109375" style="32" customWidth="1"/>
    <col min="7424" max="7424" width="26.5703125" style="32" customWidth="1"/>
    <col min="7425" max="7425" width="19.140625" style="32" customWidth="1"/>
    <col min="7426" max="7426" width="20.140625" style="32" customWidth="1"/>
    <col min="7427" max="7427" width="15.140625" style="32" customWidth="1"/>
    <col min="7428" max="7428" width="21.140625" style="32" customWidth="1"/>
    <col min="7429" max="7429" width="26.140625" style="32" customWidth="1"/>
    <col min="7430" max="7430" width="18.7109375" style="32" customWidth="1"/>
    <col min="7431" max="7431" width="11.85546875" style="32" customWidth="1"/>
    <col min="7432" max="7432" width="15" style="32" customWidth="1"/>
    <col min="7433" max="7433" width="14" style="32" customWidth="1"/>
    <col min="7434" max="7678" width="11.42578125" style="32"/>
    <col min="7679" max="7679" width="22.7109375" style="32" customWidth="1"/>
    <col min="7680" max="7680" width="26.5703125" style="32" customWidth="1"/>
    <col min="7681" max="7681" width="19.140625" style="32" customWidth="1"/>
    <col min="7682" max="7682" width="20.140625" style="32" customWidth="1"/>
    <col min="7683" max="7683" width="15.140625" style="32" customWidth="1"/>
    <col min="7684" max="7684" width="21.140625" style="32" customWidth="1"/>
    <col min="7685" max="7685" width="26.140625" style="32" customWidth="1"/>
    <col min="7686" max="7686" width="18.7109375" style="32" customWidth="1"/>
    <col min="7687" max="7687" width="11.85546875" style="32" customWidth="1"/>
    <col min="7688" max="7688" width="15" style="32" customWidth="1"/>
    <col min="7689" max="7689" width="14" style="32" customWidth="1"/>
    <col min="7690" max="7934" width="11.42578125" style="32"/>
    <col min="7935" max="7935" width="22.7109375" style="32" customWidth="1"/>
    <col min="7936" max="7936" width="26.5703125" style="32" customWidth="1"/>
    <col min="7937" max="7937" width="19.140625" style="32" customWidth="1"/>
    <col min="7938" max="7938" width="20.140625" style="32" customWidth="1"/>
    <col min="7939" max="7939" width="15.140625" style="32" customWidth="1"/>
    <col min="7940" max="7940" width="21.140625" style="32" customWidth="1"/>
    <col min="7941" max="7941" width="26.140625" style="32" customWidth="1"/>
    <col min="7942" max="7942" width="18.7109375" style="32" customWidth="1"/>
    <col min="7943" max="7943" width="11.85546875" style="32" customWidth="1"/>
    <col min="7944" max="7944" width="15" style="32" customWidth="1"/>
    <col min="7945" max="7945" width="14" style="32" customWidth="1"/>
    <col min="7946" max="8190" width="11.42578125" style="32"/>
    <col min="8191" max="8191" width="22.7109375" style="32" customWidth="1"/>
    <col min="8192" max="8192" width="26.5703125" style="32" customWidth="1"/>
    <col min="8193" max="8193" width="19.140625" style="32" customWidth="1"/>
    <col min="8194" max="8194" width="20.140625" style="32" customWidth="1"/>
    <col min="8195" max="8195" width="15.140625" style="32" customWidth="1"/>
    <col min="8196" max="8196" width="21.140625" style="32" customWidth="1"/>
    <col min="8197" max="8197" width="26.140625" style="32" customWidth="1"/>
    <col min="8198" max="8198" width="18.7109375" style="32" customWidth="1"/>
    <col min="8199" max="8199" width="11.85546875" style="32" customWidth="1"/>
    <col min="8200" max="8200" width="15" style="32" customWidth="1"/>
    <col min="8201" max="8201" width="14" style="32" customWidth="1"/>
    <col min="8202" max="8446" width="11.42578125" style="32"/>
    <col min="8447" max="8447" width="22.7109375" style="32" customWidth="1"/>
    <col min="8448" max="8448" width="26.5703125" style="32" customWidth="1"/>
    <col min="8449" max="8449" width="19.140625" style="32" customWidth="1"/>
    <col min="8450" max="8450" width="20.140625" style="32" customWidth="1"/>
    <col min="8451" max="8451" width="15.140625" style="32" customWidth="1"/>
    <col min="8452" max="8452" width="21.140625" style="32" customWidth="1"/>
    <col min="8453" max="8453" width="26.140625" style="32" customWidth="1"/>
    <col min="8454" max="8454" width="18.7109375" style="32" customWidth="1"/>
    <col min="8455" max="8455" width="11.85546875" style="32" customWidth="1"/>
    <col min="8456" max="8456" width="15" style="32" customWidth="1"/>
    <col min="8457" max="8457" width="14" style="32" customWidth="1"/>
    <col min="8458" max="8702" width="11.42578125" style="32"/>
    <col min="8703" max="8703" width="22.7109375" style="32" customWidth="1"/>
    <col min="8704" max="8704" width="26.5703125" style="32" customWidth="1"/>
    <col min="8705" max="8705" width="19.140625" style="32" customWidth="1"/>
    <col min="8706" max="8706" width="20.140625" style="32" customWidth="1"/>
    <col min="8707" max="8707" width="15.140625" style="32" customWidth="1"/>
    <col min="8708" max="8708" width="21.140625" style="32" customWidth="1"/>
    <col min="8709" max="8709" width="26.140625" style="32" customWidth="1"/>
    <col min="8710" max="8710" width="18.7109375" style="32" customWidth="1"/>
    <col min="8711" max="8711" width="11.85546875" style="32" customWidth="1"/>
    <col min="8712" max="8712" width="15" style="32" customWidth="1"/>
    <col min="8713" max="8713" width="14" style="32" customWidth="1"/>
    <col min="8714" max="8958" width="11.42578125" style="32"/>
    <col min="8959" max="8959" width="22.7109375" style="32" customWidth="1"/>
    <col min="8960" max="8960" width="26.5703125" style="32" customWidth="1"/>
    <col min="8961" max="8961" width="19.140625" style="32" customWidth="1"/>
    <col min="8962" max="8962" width="20.140625" style="32" customWidth="1"/>
    <col min="8963" max="8963" width="15.140625" style="32" customWidth="1"/>
    <col min="8964" max="8964" width="21.140625" style="32" customWidth="1"/>
    <col min="8965" max="8965" width="26.140625" style="32" customWidth="1"/>
    <col min="8966" max="8966" width="18.7109375" style="32" customWidth="1"/>
    <col min="8967" max="8967" width="11.85546875" style="32" customWidth="1"/>
    <col min="8968" max="8968" width="15" style="32" customWidth="1"/>
    <col min="8969" max="8969" width="14" style="32" customWidth="1"/>
    <col min="8970" max="9214" width="11.42578125" style="32"/>
    <col min="9215" max="9215" width="22.7109375" style="32" customWidth="1"/>
    <col min="9216" max="9216" width="26.5703125" style="32" customWidth="1"/>
    <col min="9217" max="9217" width="19.140625" style="32" customWidth="1"/>
    <col min="9218" max="9218" width="20.140625" style="32" customWidth="1"/>
    <col min="9219" max="9219" width="15.140625" style="32" customWidth="1"/>
    <col min="9220" max="9220" width="21.140625" style="32" customWidth="1"/>
    <col min="9221" max="9221" width="26.140625" style="32" customWidth="1"/>
    <col min="9222" max="9222" width="18.7109375" style="32" customWidth="1"/>
    <col min="9223" max="9223" width="11.85546875" style="32" customWidth="1"/>
    <col min="9224" max="9224" width="15" style="32" customWidth="1"/>
    <col min="9225" max="9225" width="14" style="32" customWidth="1"/>
    <col min="9226" max="9470" width="11.42578125" style="32"/>
    <col min="9471" max="9471" width="22.7109375" style="32" customWidth="1"/>
    <col min="9472" max="9472" width="26.5703125" style="32" customWidth="1"/>
    <col min="9473" max="9473" width="19.140625" style="32" customWidth="1"/>
    <col min="9474" max="9474" width="20.140625" style="32" customWidth="1"/>
    <col min="9475" max="9475" width="15.140625" style="32" customWidth="1"/>
    <col min="9476" max="9476" width="21.140625" style="32" customWidth="1"/>
    <col min="9477" max="9477" width="26.140625" style="32" customWidth="1"/>
    <col min="9478" max="9478" width="18.7109375" style="32" customWidth="1"/>
    <col min="9479" max="9479" width="11.85546875" style="32" customWidth="1"/>
    <col min="9480" max="9480" width="15" style="32" customWidth="1"/>
    <col min="9481" max="9481" width="14" style="32" customWidth="1"/>
    <col min="9482" max="9726" width="11.42578125" style="32"/>
    <col min="9727" max="9727" width="22.7109375" style="32" customWidth="1"/>
    <col min="9728" max="9728" width="26.5703125" style="32" customWidth="1"/>
    <col min="9729" max="9729" width="19.140625" style="32" customWidth="1"/>
    <col min="9730" max="9730" width="20.140625" style="32" customWidth="1"/>
    <col min="9731" max="9731" width="15.140625" style="32" customWidth="1"/>
    <col min="9732" max="9732" width="21.140625" style="32" customWidth="1"/>
    <col min="9733" max="9733" width="26.140625" style="32" customWidth="1"/>
    <col min="9734" max="9734" width="18.7109375" style="32" customWidth="1"/>
    <col min="9735" max="9735" width="11.85546875" style="32" customWidth="1"/>
    <col min="9736" max="9736" width="15" style="32" customWidth="1"/>
    <col min="9737" max="9737" width="14" style="32" customWidth="1"/>
    <col min="9738" max="9982" width="11.42578125" style="32"/>
    <col min="9983" max="9983" width="22.7109375" style="32" customWidth="1"/>
    <col min="9984" max="9984" width="26.5703125" style="32" customWidth="1"/>
    <col min="9985" max="9985" width="19.140625" style="32" customWidth="1"/>
    <col min="9986" max="9986" width="20.140625" style="32" customWidth="1"/>
    <col min="9987" max="9987" width="15.140625" style="32" customWidth="1"/>
    <col min="9988" max="9988" width="21.140625" style="32" customWidth="1"/>
    <col min="9989" max="9989" width="26.140625" style="32" customWidth="1"/>
    <col min="9990" max="9990" width="18.7109375" style="32" customWidth="1"/>
    <col min="9991" max="9991" width="11.85546875" style="32" customWidth="1"/>
    <col min="9992" max="9992" width="15" style="32" customWidth="1"/>
    <col min="9993" max="9993" width="14" style="32" customWidth="1"/>
    <col min="9994" max="10238" width="11.42578125" style="32"/>
    <col min="10239" max="10239" width="22.7109375" style="32" customWidth="1"/>
    <col min="10240" max="10240" width="26.5703125" style="32" customWidth="1"/>
    <col min="10241" max="10241" width="19.140625" style="32" customWidth="1"/>
    <col min="10242" max="10242" width="20.140625" style="32" customWidth="1"/>
    <col min="10243" max="10243" width="15.140625" style="32" customWidth="1"/>
    <col min="10244" max="10244" width="21.140625" style="32" customWidth="1"/>
    <col min="10245" max="10245" width="26.140625" style="32" customWidth="1"/>
    <col min="10246" max="10246" width="18.7109375" style="32" customWidth="1"/>
    <col min="10247" max="10247" width="11.85546875" style="32" customWidth="1"/>
    <col min="10248" max="10248" width="15" style="32" customWidth="1"/>
    <col min="10249" max="10249" width="14" style="32" customWidth="1"/>
    <col min="10250" max="10494" width="11.42578125" style="32"/>
    <col min="10495" max="10495" width="22.7109375" style="32" customWidth="1"/>
    <col min="10496" max="10496" width="26.5703125" style="32" customWidth="1"/>
    <col min="10497" max="10497" width="19.140625" style="32" customWidth="1"/>
    <col min="10498" max="10498" width="20.140625" style="32" customWidth="1"/>
    <col min="10499" max="10499" width="15.140625" style="32" customWidth="1"/>
    <col min="10500" max="10500" width="21.140625" style="32" customWidth="1"/>
    <col min="10501" max="10501" width="26.140625" style="32" customWidth="1"/>
    <col min="10502" max="10502" width="18.7109375" style="32" customWidth="1"/>
    <col min="10503" max="10503" width="11.85546875" style="32" customWidth="1"/>
    <col min="10504" max="10504" width="15" style="32" customWidth="1"/>
    <col min="10505" max="10505" width="14" style="32" customWidth="1"/>
    <col min="10506" max="10750" width="11.42578125" style="32"/>
    <col min="10751" max="10751" width="22.7109375" style="32" customWidth="1"/>
    <col min="10752" max="10752" width="26.5703125" style="32" customWidth="1"/>
    <col min="10753" max="10753" width="19.140625" style="32" customWidth="1"/>
    <col min="10754" max="10754" width="20.140625" style="32" customWidth="1"/>
    <col min="10755" max="10755" width="15.140625" style="32" customWidth="1"/>
    <col min="10756" max="10756" width="21.140625" style="32" customWidth="1"/>
    <col min="10757" max="10757" width="26.140625" style="32" customWidth="1"/>
    <col min="10758" max="10758" width="18.7109375" style="32" customWidth="1"/>
    <col min="10759" max="10759" width="11.85546875" style="32" customWidth="1"/>
    <col min="10760" max="10760" width="15" style="32" customWidth="1"/>
    <col min="10761" max="10761" width="14" style="32" customWidth="1"/>
    <col min="10762" max="11006" width="11.42578125" style="32"/>
    <col min="11007" max="11007" width="22.7109375" style="32" customWidth="1"/>
    <col min="11008" max="11008" width="26.5703125" style="32" customWidth="1"/>
    <col min="11009" max="11009" width="19.140625" style="32" customWidth="1"/>
    <col min="11010" max="11010" width="20.140625" style="32" customWidth="1"/>
    <col min="11011" max="11011" width="15.140625" style="32" customWidth="1"/>
    <col min="11012" max="11012" width="21.140625" style="32" customWidth="1"/>
    <col min="11013" max="11013" width="26.140625" style="32" customWidth="1"/>
    <col min="11014" max="11014" width="18.7109375" style="32" customWidth="1"/>
    <col min="11015" max="11015" width="11.85546875" style="32" customWidth="1"/>
    <col min="11016" max="11016" width="15" style="32" customWidth="1"/>
    <col min="11017" max="11017" width="14" style="32" customWidth="1"/>
    <col min="11018" max="11262" width="11.42578125" style="32"/>
    <col min="11263" max="11263" width="22.7109375" style="32" customWidth="1"/>
    <col min="11264" max="11264" width="26.5703125" style="32" customWidth="1"/>
    <col min="11265" max="11265" width="19.140625" style="32" customWidth="1"/>
    <col min="11266" max="11266" width="20.140625" style="32" customWidth="1"/>
    <col min="11267" max="11267" width="15.140625" style="32" customWidth="1"/>
    <col min="11268" max="11268" width="21.140625" style="32" customWidth="1"/>
    <col min="11269" max="11269" width="26.140625" style="32" customWidth="1"/>
    <col min="11270" max="11270" width="18.7109375" style="32" customWidth="1"/>
    <col min="11271" max="11271" width="11.85546875" style="32" customWidth="1"/>
    <col min="11272" max="11272" width="15" style="32" customWidth="1"/>
    <col min="11273" max="11273" width="14" style="32" customWidth="1"/>
    <col min="11274" max="11518" width="11.42578125" style="32"/>
    <col min="11519" max="11519" width="22.7109375" style="32" customWidth="1"/>
    <col min="11520" max="11520" width="26.5703125" style="32" customWidth="1"/>
    <col min="11521" max="11521" width="19.140625" style="32" customWidth="1"/>
    <col min="11522" max="11522" width="20.140625" style="32" customWidth="1"/>
    <col min="11523" max="11523" width="15.140625" style="32" customWidth="1"/>
    <col min="11524" max="11524" width="21.140625" style="32" customWidth="1"/>
    <col min="11525" max="11525" width="26.140625" style="32" customWidth="1"/>
    <col min="11526" max="11526" width="18.7109375" style="32" customWidth="1"/>
    <col min="11527" max="11527" width="11.85546875" style="32" customWidth="1"/>
    <col min="11528" max="11528" width="15" style="32" customWidth="1"/>
    <col min="11529" max="11529" width="14" style="32" customWidth="1"/>
    <col min="11530" max="11774" width="11.42578125" style="32"/>
    <col min="11775" max="11775" width="22.7109375" style="32" customWidth="1"/>
    <col min="11776" max="11776" width="26.5703125" style="32" customWidth="1"/>
    <col min="11777" max="11777" width="19.140625" style="32" customWidth="1"/>
    <col min="11778" max="11778" width="20.140625" style="32" customWidth="1"/>
    <col min="11779" max="11779" width="15.140625" style="32" customWidth="1"/>
    <col min="11780" max="11780" width="21.140625" style="32" customWidth="1"/>
    <col min="11781" max="11781" width="26.140625" style="32" customWidth="1"/>
    <col min="11782" max="11782" width="18.7109375" style="32" customWidth="1"/>
    <col min="11783" max="11783" width="11.85546875" style="32" customWidth="1"/>
    <col min="11784" max="11784" width="15" style="32" customWidth="1"/>
    <col min="11785" max="11785" width="14" style="32" customWidth="1"/>
    <col min="11786" max="12030" width="11.42578125" style="32"/>
    <col min="12031" max="12031" width="22.7109375" style="32" customWidth="1"/>
    <col min="12032" max="12032" width="26.5703125" style="32" customWidth="1"/>
    <col min="12033" max="12033" width="19.140625" style="32" customWidth="1"/>
    <col min="12034" max="12034" width="20.140625" style="32" customWidth="1"/>
    <col min="12035" max="12035" width="15.140625" style="32" customWidth="1"/>
    <col min="12036" max="12036" width="21.140625" style="32" customWidth="1"/>
    <col min="12037" max="12037" width="26.140625" style="32" customWidth="1"/>
    <col min="12038" max="12038" width="18.7109375" style="32" customWidth="1"/>
    <col min="12039" max="12039" width="11.85546875" style="32" customWidth="1"/>
    <col min="12040" max="12040" width="15" style="32" customWidth="1"/>
    <col min="12041" max="12041" width="14" style="32" customWidth="1"/>
    <col min="12042" max="12286" width="11.42578125" style="32"/>
    <col min="12287" max="12287" width="22.7109375" style="32" customWidth="1"/>
    <col min="12288" max="12288" width="26.5703125" style="32" customWidth="1"/>
    <col min="12289" max="12289" width="19.140625" style="32" customWidth="1"/>
    <col min="12290" max="12290" width="20.140625" style="32" customWidth="1"/>
    <col min="12291" max="12291" width="15.140625" style="32" customWidth="1"/>
    <col min="12292" max="12292" width="21.140625" style="32" customWidth="1"/>
    <col min="12293" max="12293" width="26.140625" style="32" customWidth="1"/>
    <col min="12294" max="12294" width="18.7109375" style="32" customWidth="1"/>
    <col min="12295" max="12295" width="11.85546875" style="32" customWidth="1"/>
    <col min="12296" max="12296" width="15" style="32" customWidth="1"/>
    <col min="12297" max="12297" width="14" style="32" customWidth="1"/>
    <col min="12298" max="12542" width="11.42578125" style="32"/>
    <col min="12543" max="12543" width="22.7109375" style="32" customWidth="1"/>
    <col min="12544" max="12544" width="26.5703125" style="32" customWidth="1"/>
    <col min="12545" max="12545" width="19.140625" style="32" customWidth="1"/>
    <col min="12546" max="12546" width="20.140625" style="32" customWidth="1"/>
    <col min="12547" max="12547" width="15.140625" style="32" customWidth="1"/>
    <col min="12548" max="12548" width="21.140625" style="32" customWidth="1"/>
    <col min="12549" max="12549" width="26.140625" style="32" customWidth="1"/>
    <col min="12550" max="12550" width="18.7109375" style="32" customWidth="1"/>
    <col min="12551" max="12551" width="11.85546875" style="32" customWidth="1"/>
    <col min="12552" max="12552" width="15" style="32" customWidth="1"/>
    <col min="12553" max="12553" width="14" style="32" customWidth="1"/>
    <col min="12554" max="12798" width="11.42578125" style="32"/>
    <col min="12799" max="12799" width="22.7109375" style="32" customWidth="1"/>
    <col min="12800" max="12800" width="26.5703125" style="32" customWidth="1"/>
    <col min="12801" max="12801" width="19.140625" style="32" customWidth="1"/>
    <col min="12802" max="12802" width="20.140625" style="32" customWidth="1"/>
    <col min="12803" max="12803" width="15.140625" style="32" customWidth="1"/>
    <col min="12804" max="12804" width="21.140625" style="32" customWidth="1"/>
    <col min="12805" max="12805" width="26.140625" style="32" customWidth="1"/>
    <col min="12806" max="12806" width="18.7109375" style="32" customWidth="1"/>
    <col min="12807" max="12807" width="11.85546875" style="32" customWidth="1"/>
    <col min="12808" max="12808" width="15" style="32" customWidth="1"/>
    <col min="12809" max="12809" width="14" style="32" customWidth="1"/>
    <col min="12810" max="13054" width="11.42578125" style="32"/>
    <col min="13055" max="13055" width="22.7109375" style="32" customWidth="1"/>
    <col min="13056" max="13056" width="26.5703125" style="32" customWidth="1"/>
    <col min="13057" max="13057" width="19.140625" style="32" customWidth="1"/>
    <col min="13058" max="13058" width="20.140625" style="32" customWidth="1"/>
    <col min="13059" max="13059" width="15.140625" style="32" customWidth="1"/>
    <col min="13060" max="13060" width="21.140625" style="32" customWidth="1"/>
    <col min="13061" max="13061" width="26.140625" style="32" customWidth="1"/>
    <col min="13062" max="13062" width="18.7109375" style="32" customWidth="1"/>
    <col min="13063" max="13063" width="11.85546875" style="32" customWidth="1"/>
    <col min="13064" max="13064" width="15" style="32" customWidth="1"/>
    <col min="13065" max="13065" width="14" style="32" customWidth="1"/>
    <col min="13066" max="13310" width="11.42578125" style="32"/>
    <col min="13311" max="13311" width="22.7109375" style="32" customWidth="1"/>
    <col min="13312" max="13312" width="26.5703125" style="32" customWidth="1"/>
    <col min="13313" max="13313" width="19.140625" style="32" customWidth="1"/>
    <col min="13314" max="13314" width="20.140625" style="32" customWidth="1"/>
    <col min="13315" max="13315" width="15.140625" style="32" customWidth="1"/>
    <col min="13316" max="13316" width="21.140625" style="32" customWidth="1"/>
    <col min="13317" max="13317" width="26.140625" style="32" customWidth="1"/>
    <col min="13318" max="13318" width="18.7109375" style="32" customWidth="1"/>
    <col min="13319" max="13319" width="11.85546875" style="32" customWidth="1"/>
    <col min="13320" max="13320" width="15" style="32" customWidth="1"/>
    <col min="13321" max="13321" width="14" style="32" customWidth="1"/>
    <col min="13322" max="13566" width="11.42578125" style="32"/>
    <col min="13567" max="13567" width="22.7109375" style="32" customWidth="1"/>
    <col min="13568" max="13568" width="26.5703125" style="32" customWidth="1"/>
    <col min="13569" max="13569" width="19.140625" style="32" customWidth="1"/>
    <col min="13570" max="13570" width="20.140625" style="32" customWidth="1"/>
    <col min="13571" max="13571" width="15.140625" style="32" customWidth="1"/>
    <col min="13572" max="13572" width="21.140625" style="32" customWidth="1"/>
    <col min="13573" max="13573" width="26.140625" style="32" customWidth="1"/>
    <col min="13574" max="13574" width="18.7109375" style="32" customWidth="1"/>
    <col min="13575" max="13575" width="11.85546875" style="32" customWidth="1"/>
    <col min="13576" max="13576" width="15" style="32" customWidth="1"/>
    <col min="13577" max="13577" width="14" style="32" customWidth="1"/>
    <col min="13578" max="13822" width="11.42578125" style="32"/>
    <col min="13823" max="13823" width="22.7109375" style="32" customWidth="1"/>
    <col min="13824" max="13824" width="26.5703125" style="32" customWidth="1"/>
    <col min="13825" max="13825" width="19.140625" style="32" customWidth="1"/>
    <col min="13826" max="13826" width="20.140625" style="32" customWidth="1"/>
    <col min="13827" max="13827" width="15.140625" style="32" customWidth="1"/>
    <col min="13828" max="13828" width="21.140625" style="32" customWidth="1"/>
    <col min="13829" max="13829" width="26.140625" style="32" customWidth="1"/>
    <col min="13830" max="13830" width="18.7109375" style="32" customWidth="1"/>
    <col min="13831" max="13831" width="11.85546875" style="32" customWidth="1"/>
    <col min="13832" max="13832" width="15" style="32" customWidth="1"/>
    <col min="13833" max="13833" width="14" style="32" customWidth="1"/>
    <col min="13834" max="14078" width="11.42578125" style="32"/>
    <col min="14079" max="14079" width="22.7109375" style="32" customWidth="1"/>
    <col min="14080" max="14080" width="26.5703125" style="32" customWidth="1"/>
    <col min="14081" max="14081" width="19.140625" style="32" customWidth="1"/>
    <col min="14082" max="14082" width="20.140625" style="32" customWidth="1"/>
    <col min="14083" max="14083" width="15.140625" style="32" customWidth="1"/>
    <col min="14084" max="14084" width="21.140625" style="32" customWidth="1"/>
    <col min="14085" max="14085" width="26.140625" style="32" customWidth="1"/>
    <col min="14086" max="14086" width="18.7109375" style="32" customWidth="1"/>
    <col min="14087" max="14087" width="11.85546875" style="32" customWidth="1"/>
    <col min="14088" max="14088" width="15" style="32" customWidth="1"/>
    <col min="14089" max="14089" width="14" style="32" customWidth="1"/>
    <col min="14090" max="14334" width="11.42578125" style="32"/>
    <col min="14335" max="14335" width="22.7109375" style="32" customWidth="1"/>
    <col min="14336" max="14336" width="26.5703125" style="32" customWidth="1"/>
    <col min="14337" max="14337" width="19.140625" style="32" customWidth="1"/>
    <col min="14338" max="14338" width="20.140625" style="32" customWidth="1"/>
    <col min="14339" max="14339" width="15.140625" style="32" customWidth="1"/>
    <col min="14340" max="14340" width="21.140625" style="32" customWidth="1"/>
    <col min="14341" max="14341" width="26.140625" style="32" customWidth="1"/>
    <col min="14342" max="14342" width="18.7109375" style="32" customWidth="1"/>
    <col min="14343" max="14343" width="11.85546875" style="32" customWidth="1"/>
    <col min="14344" max="14344" width="15" style="32" customWidth="1"/>
    <col min="14345" max="14345" width="14" style="32" customWidth="1"/>
    <col min="14346" max="14590" width="11.42578125" style="32"/>
    <col min="14591" max="14591" width="22.7109375" style="32" customWidth="1"/>
    <col min="14592" max="14592" width="26.5703125" style="32" customWidth="1"/>
    <col min="14593" max="14593" width="19.140625" style="32" customWidth="1"/>
    <col min="14594" max="14594" width="20.140625" style="32" customWidth="1"/>
    <col min="14595" max="14595" width="15.140625" style="32" customWidth="1"/>
    <col min="14596" max="14596" width="21.140625" style="32" customWidth="1"/>
    <col min="14597" max="14597" width="26.140625" style="32" customWidth="1"/>
    <col min="14598" max="14598" width="18.7109375" style="32" customWidth="1"/>
    <col min="14599" max="14599" width="11.85546875" style="32" customWidth="1"/>
    <col min="14600" max="14600" width="15" style="32" customWidth="1"/>
    <col min="14601" max="14601" width="14" style="32" customWidth="1"/>
    <col min="14602" max="14846" width="11.42578125" style="32"/>
    <col min="14847" max="14847" width="22.7109375" style="32" customWidth="1"/>
    <col min="14848" max="14848" width="26.5703125" style="32" customWidth="1"/>
    <col min="14849" max="14849" width="19.140625" style="32" customWidth="1"/>
    <col min="14850" max="14850" width="20.140625" style="32" customWidth="1"/>
    <col min="14851" max="14851" width="15.140625" style="32" customWidth="1"/>
    <col min="14852" max="14852" width="21.140625" style="32" customWidth="1"/>
    <col min="14853" max="14853" width="26.140625" style="32" customWidth="1"/>
    <col min="14854" max="14854" width="18.7109375" style="32" customWidth="1"/>
    <col min="14855" max="14855" width="11.85546875" style="32" customWidth="1"/>
    <col min="14856" max="14856" width="15" style="32" customWidth="1"/>
    <col min="14857" max="14857" width="14" style="32" customWidth="1"/>
    <col min="14858" max="15102" width="11.42578125" style="32"/>
    <col min="15103" max="15103" width="22.7109375" style="32" customWidth="1"/>
    <col min="15104" max="15104" width="26.5703125" style="32" customWidth="1"/>
    <col min="15105" max="15105" width="19.140625" style="32" customWidth="1"/>
    <col min="15106" max="15106" width="20.140625" style="32" customWidth="1"/>
    <col min="15107" max="15107" width="15.140625" style="32" customWidth="1"/>
    <col min="15108" max="15108" width="21.140625" style="32" customWidth="1"/>
    <col min="15109" max="15109" width="26.140625" style="32" customWidth="1"/>
    <col min="15110" max="15110" width="18.7109375" style="32" customWidth="1"/>
    <col min="15111" max="15111" width="11.85546875" style="32" customWidth="1"/>
    <col min="15112" max="15112" width="15" style="32" customWidth="1"/>
    <col min="15113" max="15113" width="14" style="32" customWidth="1"/>
    <col min="15114" max="15358" width="11.42578125" style="32"/>
    <col min="15359" max="15359" width="22.7109375" style="32" customWidth="1"/>
    <col min="15360" max="15360" width="26.5703125" style="32" customWidth="1"/>
    <col min="15361" max="15361" width="19.140625" style="32" customWidth="1"/>
    <col min="15362" max="15362" width="20.140625" style="32" customWidth="1"/>
    <col min="15363" max="15363" width="15.140625" style="32" customWidth="1"/>
    <col min="15364" max="15364" width="21.140625" style="32" customWidth="1"/>
    <col min="15365" max="15365" width="26.140625" style="32" customWidth="1"/>
    <col min="15366" max="15366" width="18.7109375" style="32" customWidth="1"/>
    <col min="15367" max="15367" width="11.85546875" style="32" customWidth="1"/>
    <col min="15368" max="15368" width="15" style="32" customWidth="1"/>
    <col min="15369" max="15369" width="14" style="32" customWidth="1"/>
    <col min="15370" max="15614" width="11.42578125" style="32"/>
    <col min="15615" max="15615" width="22.7109375" style="32" customWidth="1"/>
    <col min="15616" max="15616" width="26.5703125" style="32" customWidth="1"/>
    <col min="15617" max="15617" width="19.140625" style="32" customWidth="1"/>
    <col min="15618" max="15618" width="20.140625" style="32" customWidth="1"/>
    <col min="15619" max="15619" width="15.140625" style="32" customWidth="1"/>
    <col min="15620" max="15620" width="21.140625" style="32" customWidth="1"/>
    <col min="15621" max="15621" width="26.140625" style="32" customWidth="1"/>
    <col min="15622" max="15622" width="18.7109375" style="32" customWidth="1"/>
    <col min="15623" max="15623" width="11.85546875" style="32" customWidth="1"/>
    <col min="15624" max="15624" width="15" style="32" customWidth="1"/>
    <col min="15625" max="15625" width="14" style="32" customWidth="1"/>
    <col min="15626" max="15870" width="11.42578125" style="32"/>
    <col min="15871" max="15871" width="22.7109375" style="32" customWidth="1"/>
    <col min="15872" max="15872" width="26.5703125" style="32" customWidth="1"/>
    <col min="15873" max="15873" width="19.140625" style="32" customWidth="1"/>
    <col min="15874" max="15874" width="20.140625" style="32" customWidth="1"/>
    <col min="15875" max="15875" width="15.140625" style="32" customWidth="1"/>
    <col min="15876" max="15876" width="21.140625" style="32" customWidth="1"/>
    <col min="15877" max="15877" width="26.140625" style="32" customWidth="1"/>
    <col min="15878" max="15878" width="18.7109375" style="32" customWidth="1"/>
    <col min="15879" max="15879" width="11.85546875" style="32" customWidth="1"/>
    <col min="15880" max="15880" width="15" style="32" customWidth="1"/>
    <col min="15881" max="15881" width="14" style="32" customWidth="1"/>
    <col min="15882" max="16126" width="11.42578125" style="32"/>
    <col min="16127" max="16127" width="22.7109375" style="32" customWidth="1"/>
    <col min="16128" max="16128" width="26.5703125" style="32" customWidth="1"/>
    <col min="16129" max="16129" width="19.140625" style="32" customWidth="1"/>
    <col min="16130" max="16130" width="20.140625" style="32" customWidth="1"/>
    <col min="16131" max="16131" width="15.140625" style="32" customWidth="1"/>
    <col min="16132" max="16132" width="21.140625" style="32" customWidth="1"/>
    <col min="16133" max="16133" width="26.140625" style="32" customWidth="1"/>
    <col min="16134" max="16134" width="18.7109375" style="32" customWidth="1"/>
    <col min="16135" max="16135" width="11.85546875" style="32" customWidth="1"/>
    <col min="16136" max="16136" width="15" style="32" customWidth="1"/>
    <col min="16137" max="16137" width="14" style="32" customWidth="1"/>
    <col min="16138" max="16384" width="11.42578125" style="32"/>
  </cols>
  <sheetData>
    <row r="2" spans="1:20" ht="24" thickBot="1" x14ac:dyDescent="0.25">
      <c r="A2" s="2173" t="s">
        <v>1048</v>
      </c>
      <c r="B2" s="2174"/>
      <c r="C2" s="2174"/>
      <c r="D2" s="2174"/>
      <c r="E2" s="2174"/>
      <c r="F2" s="2174"/>
      <c r="G2" s="2174"/>
      <c r="H2" s="2174"/>
      <c r="I2" s="2174"/>
      <c r="J2" s="2174"/>
      <c r="K2" s="2174"/>
      <c r="L2" s="2174"/>
      <c r="M2" s="2174"/>
      <c r="N2" s="2174"/>
      <c r="O2" s="2174"/>
      <c r="P2" s="2174"/>
    </row>
    <row r="3" spans="1:20" ht="23.25" x14ac:dyDescent="0.35">
      <c r="A3" s="247" t="s">
        <v>278</v>
      </c>
      <c r="B3" s="248" t="s">
        <v>279</v>
      </c>
      <c r="C3" s="248" t="s">
        <v>319</v>
      </c>
      <c r="D3" s="248" t="s">
        <v>320</v>
      </c>
      <c r="E3" s="248" t="s">
        <v>342</v>
      </c>
      <c r="F3" s="248" t="s">
        <v>343</v>
      </c>
      <c r="G3" s="248" t="s">
        <v>410</v>
      </c>
      <c r="H3" s="248" t="s">
        <v>411</v>
      </c>
      <c r="I3" s="248" t="s">
        <v>445</v>
      </c>
      <c r="J3" s="249" t="s">
        <v>446</v>
      </c>
      <c r="K3" s="249" t="s">
        <v>602</v>
      </c>
      <c r="L3" s="249" t="s">
        <v>603</v>
      </c>
      <c r="M3" s="248" t="s">
        <v>624</v>
      </c>
      <c r="N3" s="249" t="s">
        <v>625</v>
      </c>
      <c r="O3" s="248" t="s">
        <v>718</v>
      </c>
      <c r="P3" s="249" t="s">
        <v>719</v>
      </c>
      <c r="Q3" s="248" t="s">
        <v>831</v>
      </c>
      <c r="R3" s="249" t="s">
        <v>832</v>
      </c>
      <c r="S3" s="248" t="s">
        <v>1040</v>
      </c>
      <c r="T3" s="249" t="s">
        <v>1041</v>
      </c>
    </row>
    <row r="4" spans="1:20" ht="26.25" x14ac:dyDescent="0.4">
      <c r="A4" s="229">
        <v>0.97</v>
      </c>
      <c r="B4" s="36">
        <v>0.88</v>
      </c>
      <c r="C4" s="36">
        <v>0.9</v>
      </c>
      <c r="D4" s="36">
        <v>0.82</v>
      </c>
      <c r="E4" s="36">
        <v>0.86</v>
      </c>
      <c r="F4" s="36">
        <v>0.89</v>
      </c>
      <c r="G4" s="36">
        <v>0.91</v>
      </c>
      <c r="H4" s="36">
        <v>0.91</v>
      </c>
      <c r="I4" s="277">
        <v>1</v>
      </c>
      <c r="J4" s="278">
        <v>0.99</v>
      </c>
      <c r="K4" s="443">
        <v>0.96</v>
      </c>
      <c r="L4" s="276">
        <v>0.97</v>
      </c>
      <c r="M4" s="443">
        <v>0.96250000000000002</v>
      </c>
      <c r="N4" s="276">
        <v>0.98799999999999999</v>
      </c>
      <c r="O4" s="443">
        <v>0.97650000000000003</v>
      </c>
      <c r="P4" s="276">
        <v>0.97260000000000002</v>
      </c>
      <c r="Q4" s="443">
        <f>C59</f>
        <v>0</v>
      </c>
      <c r="R4" s="276">
        <f>E59</f>
        <v>0.97689999999999999</v>
      </c>
      <c r="S4" s="440">
        <f>C61</f>
        <v>0.97276666666666656</v>
      </c>
      <c r="T4" s="233">
        <f>E61</f>
        <v>0.96939473684210531</v>
      </c>
    </row>
    <row r="5" spans="1:20" ht="24.75" customHeight="1" thickBot="1" x14ac:dyDescent="0.25">
      <c r="A5" s="250">
        <v>773</v>
      </c>
      <c r="B5" s="246">
        <v>802</v>
      </c>
      <c r="C5" s="246">
        <v>421</v>
      </c>
      <c r="D5" s="246">
        <v>641</v>
      </c>
      <c r="E5" s="246">
        <v>1029</v>
      </c>
      <c r="F5" s="246">
        <v>1114</v>
      </c>
      <c r="G5" s="246">
        <v>1041</v>
      </c>
      <c r="H5" s="246">
        <v>860</v>
      </c>
      <c r="I5" s="279">
        <v>298</v>
      </c>
      <c r="J5" s="280">
        <v>1511</v>
      </c>
      <c r="K5" s="281" t="s">
        <v>634</v>
      </c>
      <c r="L5" s="282" t="s">
        <v>635</v>
      </c>
      <c r="M5" s="281">
        <v>2742</v>
      </c>
      <c r="N5" s="282">
        <v>2024</v>
      </c>
      <c r="O5" s="677">
        <v>680</v>
      </c>
      <c r="P5" s="678">
        <v>1085</v>
      </c>
      <c r="Q5" s="677">
        <f>B59</f>
        <v>0</v>
      </c>
      <c r="R5" s="678">
        <f>D59</f>
        <v>13</v>
      </c>
      <c r="S5" s="319">
        <f>B61</f>
        <v>1206</v>
      </c>
      <c r="T5" s="482">
        <f>D61</f>
        <v>1610</v>
      </c>
    </row>
    <row r="6" spans="1:20" ht="15.75" thickBot="1" x14ac:dyDescent="0.25">
      <c r="A6" s="230" t="s">
        <v>328</v>
      </c>
      <c r="B6" s="231" t="s">
        <v>329</v>
      </c>
      <c r="C6" s="231" t="s">
        <v>389</v>
      </c>
      <c r="D6" s="231" t="s">
        <v>390</v>
      </c>
      <c r="E6" s="231" t="s">
        <v>401</v>
      </c>
      <c r="F6" s="231" t="s">
        <v>402</v>
      </c>
      <c r="G6" s="231" t="s">
        <v>438</v>
      </c>
      <c r="H6" s="231" t="s">
        <v>439</v>
      </c>
      <c r="I6" s="281" t="s">
        <v>553</v>
      </c>
      <c r="J6" s="282" t="s">
        <v>554</v>
      </c>
      <c r="K6" s="282" t="s">
        <v>634</v>
      </c>
      <c r="L6" s="282" t="s">
        <v>635</v>
      </c>
      <c r="M6" s="282" t="s">
        <v>688</v>
      </c>
      <c r="N6" s="282" t="s">
        <v>717</v>
      </c>
      <c r="O6" s="281" t="s">
        <v>785</v>
      </c>
      <c r="P6" s="282" t="s">
        <v>786</v>
      </c>
      <c r="Q6" s="281" t="s">
        <v>836</v>
      </c>
      <c r="R6" s="282" t="s">
        <v>837</v>
      </c>
      <c r="S6" s="232" t="s">
        <v>1047</v>
      </c>
      <c r="T6" s="232" t="s">
        <v>1243</v>
      </c>
    </row>
    <row r="7" spans="1:20" ht="15" x14ac:dyDescent="0.2">
      <c r="A7" s="245"/>
      <c r="B7" s="245"/>
      <c r="C7" s="245"/>
      <c r="D7" s="245"/>
      <c r="E7" s="245"/>
      <c r="F7" s="245"/>
      <c r="G7" s="245"/>
      <c r="H7" s="245"/>
      <c r="I7" s="245"/>
      <c r="J7" s="245"/>
    </row>
    <row r="8" spans="1:20" ht="30" x14ac:dyDescent="0.4">
      <c r="A8" s="2203" t="s">
        <v>71</v>
      </c>
      <c r="B8" s="2204"/>
      <c r="C8" s="2204"/>
      <c r="D8" s="2204"/>
      <c r="E8" s="2204"/>
      <c r="F8" s="2204"/>
      <c r="G8" s="2204"/>
      <c r="H8" s="2204"/>
      <c r="I8" s="2204"/>
      <c r="J8" s="2204"/>
      <c r="K8" s="2204"/>
      <c r="L8" s="2204"/>
      <c r="M8" s="2204"/>
      <c r="N8" s="2204"/>
      <c r="O8" s="2204"/>
      <c r="P8" s="2204"/>
    </row>
    <row r="9" spans="1:20" ht="23.25" x14ac:dyDescent="0.35">
      <c r="A9" s="33">
        <v>2006</v>
      </c>
      <c r="B9" s="34">
        <v>2007</v>
      </c>
      <c r="C9" s="35">
        <v>2008</v>
      </c>
      <c r="D9" s="35">
        <v>2009</v>
      </c>
      <c r="E9" s="35">
        <v>2010</v>
      </c>
      <c r="F9" s="35">
        <v>2011</v>
      </c>
      <c r="G9" s="35">
        <v>2012</v>
      </c>
      <c r="H9" s="35">
        <v>2012</v>
      </c>
      <c r="I9" s="35">
        <v>2013</v>
      </c>
      <c r="J9" s="35">
        <v>2014</v>
      </c>
      <c r="K9" s="35">
        <v>2015</v>
      </c>
      <c r="L9" s="35">
        <v>2016</v>
      </c>
      <c r="M9" s="35">
        <v>2017</v>
      </c>
      <c r="N9" s="35">
        <v>2018</v>
      </c>
      <c r="O9" s="35">
        <v>2019</v>
      </c>
      <c r="P9" s="35">
        <v>2020</v>
      </c>
      <c r="Q9" s="35">
        <v>2021</v>
      </c>
      <c r="R9" s="35">
        <v>2022</v>
      </c>
    </row>
    <row r="10" spans="1:20" ht="26.25" x14ac:dyDescent="0.4">
      <c r="A10" s="36">
        <v>0.78</v>
      </c>
      <c r="B10" s="36">
        <v>0.87</v>
      </c>
      <c r="C10" s="36">
        <v>0.95</v>
      </c>
      <c r="D10" s="36">
        <v>0.93</v>
      </c>
      <c r="E10" s="37">
        <v>0.95</v>
      </c>
      <c r="F10" s="37">
        <v>0.96</v>
      </c>
      <c r="G10" s="37">
        <v>0.93</v>
      </c>
      <c r="H10" s="37">
        <v>0.96</v>
      </c>
      <c r="I10" s="37">
        <f>AVERAGE(A4:B4)</f>
        <v>0.92500000000000004</v>
      </c>
      <c r="J10" s="37">
        <v>0.86</v>
      </c>
      <c r="K10" s="144">
        <v>0.87</v>
      </c>
      <c r="L10" s="144">
        <v>0.91</v>
      </c>
      <c r="M10" s="144">
        <v>0.99</v>
      </c>
      <c r="N10" s="444">
        <f>AVERAGE(K4:L4)</f>
        <v>0.96499999999999997</v>
      </c>
      <c r="O10" s="444">
        <f>AVERAGE(M4:N4)</f>
        <v>0.97524999999999995</v>
      </c>
      <c r="P10" s="679">
        <f>AVERAGE(O4:P4)</f>
        <v>0.97455000000000003</v>
      </c>
      <c r="Q10" s="679" t="s">
        <v>1333</v>
      </c>
      <c r="R10" s="439">
        <f>AVERAGE(S4:T4)</f>
        <v>0.97108070175438588</v>
      </c>
    </row>
    <row r="11" spans="1:20" ht="26.25" x14ac:dyDescent="0.25">
      <c r="A11" s="136">
        <v>170</v>
      </c>
      <c r="B11" s="136">
        <v>742</v>
      </c>
      <c r="C11" s="136">
        <v>962</v>
      </c>
      <c r="D11" s="136">
        <v>1237</v>
      </c>
      <c r="E11" s="136">
        <v>1805</v>
      </c>
      <c r="F11" s="136">
        <v>1297</v>
      </c>
      <c r="G11" s="136" t="s">
        <v>78</v>
      </c>
      <c r="H11" s="136">
        <v>881</v>
      </c>
      <c r="I11" s="136">
        <v>1575</v>
      </c>
      <c r="J11" s="136">
        <v>1062</v>
      </c>
      <c r="K11" s="145">
        <v>2143</v>
      </c>
      <c r="L11" s="145">
        <v>1901</v>
      </c>
      <c r="M11" s="145">
        <v>1809</v>
      </c>
      <c r="N11" s="145">
        <v>2223</v>
      </c>
      <c r="O11" s="145">
        <f>M5+N5</f>
        <v>4766</v>
      </c>
      <c r="P11" s="676">
        <f>O5+P5</f>
        <v>1765</v>
      </c>
      <c r="Q11" s="676">
        <v>3210</v>
      </c>
      <c r="R11" s="821">
        <f>S5+T5</f>
        <v>2816</v>
      </c>
    </row>
    <row r="12" spans="1:20" ht="18.75" thickBot="1" x14ac:dyDescent="0.3">
      <c r="A12" s="136" t="s">
        <v>72</v>
      </c>
      <c r="B12" s="136" t="s">
        <v>73</v>
      </c>
      <c r="C12" s="136" t="s">
        <v>74</v>
      </c>
      <c r="D12" s="136" t="s">
        <v>75</v>
      </c>
      <c r="E12" s="136" t="s">
        <v>76</v>
      </c>
      <c r="F12" s="136" t="s">
        <v>77</v>
      </c>
      <c r="G12" s="136" t="s">
        <v>78</v>
      </c>
      <c r="H12" s="136" t="s">
        <v>77</v>
      </c>
      <c r="I12" s="136" t="s">
        <v>282</v>
      </c>
      <c r="J12" s="283" t="s">
        <v>391</v>
      </c>
      <c r="K12" s="284" t="s">
        <v>398</v>
      </c>
      <c r="L12" s="284" t="s">
        <v>437</v>
      </c>
      <c r="M12" s="284" t="s">
        <v>552</v>
      </c>
      <c r="N12" s="284" t="s">
        <v>732</v>
      </c>
      <c r="O12" s="284" t="s">
        <v>733</v>
      </c>
      <c r="P12" s="281" t="s">
        <v>784</v>
      </c>
      <c r="Q12" s="281" t="s">
        <v>1334</v>
      </c>
      <c r="R12" s="232" t="s">
        <v>1177</v>
      </c>
    </row>
    <row r="13" spans="1:20" s="320" customFormat="1" ht="120.75" customHeight="1" thickBot="1" x14ac:dyDescent="0.25">
      <c r="A13" s="2175" t="s">
        <v>1251</v>
      </c>
      <c r="B13" s="2176"/>
      <c r="C13" s="2176"/>
      <c r="D13" s="2176"/>
      <c r="E13" s="2176"/>
      <c r="F13" s="2176"/>
      <c r="G13" s="2176"/>
      <c r="H13" s="2176"/>
      <c r="I13" s="2176"/>
      <c r="J13" s="2176"/>
      <c r="K13" s="2176"/>
      <c r="L13" s="2176"/>
      <c r="M13" s="2176"/>
      <c r="N13" s="2176"/>
      <c r="O13" s="2176"/>
      <c r="P13" s="2177"/>
    </row>
    <row r="14" spans="1:20" s="320" customFormat="1" ht="101.25" customHeight="1" thickBot="1" x14ac:dyDescent="0.25">
      <c r="A14" s="2175" t="s">
        <v>1252</v>
      </c>
      <c r="B14" s="2176"/>
      <c r="C14" s="2176"/>
      <c r="D14" s="2176"/>
      <c r="E14" s="2176"/>
      <c r="F14" s="2176"/>
      <c r="G14" s="2176"/>
      <c r="H14" s="2176"/>
      <c r="I14" s="2176"/>
      <c r="J14" s="2176"/>
      <c r="K14" s="2176"/>
      <c r="L14" s="2176"/>
      <c r="M14" s="2176"/>
      <c r="N14" s="2176"/>
      <c r="O14" s="2176"/>
      <c r="P14" s="2177"/>
    </row>
    <row r="15" spans="1:20" s="320" customFormat="1" ht="101.25" customHeight="1" thickBot="1" x14ac:dyDescent="0.25">
      <c r="A15" s="2175" t="s">
        <v>1253</v>
      </c>
      <c r="B15" s="2176"/>
      <c r="C15" s="2176"/>
      <c r="D15" s="2176"/>
      <c r="E15" s="2176"/>
      <c r="F15" s="2176"/>
      <c r="G15" s="2176"/>
      <c r="H15" s="2176"/>
      <c r="I15" s="2176"/>
      <c r="J15" s="2176"/>
      <c r="K15" s="2176"/>
      <c r="L15" s="2176"/>
      <c r="M15" s="2176"/>
      <c r="N15" s="2176"/>
      <c r="O15" s="2176"/>
      <c r="P15" s="2177"/>
      <c r="R15" s="1540"/>
    </row>
    <row r="16" spans="1:20" ht="13.5" thickBot="1" x14ac:dyDescent="0.25"/>
    <row r="17" spans="1:11" ht="21" thickBot="1" x14ac:dyDescent="0.25">
      <c r="A17" s="2179" t="s">
        <v>1042</v>
      </c>
      <c r="B17" s="2180"/>
      <c r="C17" s="2180"/>
      <c r="D17" s="2180"/>
      <c r="E17" s="2181"/>
      <c r="H17" s="137"/>
    </row>
    <row r="18" spans="1:11" ht="27.75" customHeight="1" x14ac:dyDescent="0.2">
      <c r="A18" s="2182" t="s">
        <v>88</v>
      </c>
      <c r="B18" s="2184" t="s">
        <v>1040</v>
      </c>
      <c r="C18" s="2185"/>
      <c r="D18" s="2186" t="s">
        <v>1041</v>
      </c>
      <c r="E18" s="2187"/>
    </row>
    <row r="19" spans="1:11" ht="45.75" thickBot="1" x14ac:dyDescent="0.25">
      <c r="A19" s="2183"/>
      <c r="B19" s="817" t="s">
        <v>322</v>
      </c>
      <c r="C19" s="818" t="s">
        <v>323</v>
      </c>
      <c r="D19" s="819" t="s">
        <v>322</v>
      </c>
      <c r="E19" s="820" t="s">
        <v>323</v>
      </c>
    </row>
    <row r="20" spans="1:11" ht="20.25" customHeight="1" x14ac:dyDescent="0.2">
      <c r="A20" s="2171" t="s">
        <v>199</v>
      </c>
      <c r="B20" s="2160">
        <v>126</v>
      </c>
      <c r="C20" s="2161">
        <v>0.95830000000000004</v>
      </c>
      <c r="D20" s="2162">
        <v>87</v>
      </c>
      <c r="E20" s="2190">
        <v>0.98509999999999998</v>
      </c>
    </row>
    <row r="21" spans="1:11" ht="20.25" customHeight="1" x14ac:dyDescent="0.2">
      <c r="A21" s="2172"/>
      <c r="B21" s="2160"/>
      <c r="C21" s="2161"/>
      <c r="D21" s="2162"/>
      <c r="E21" s="2190"/>
    </row>
    <row r="22" spans="1:11" ht="20.25" customHeight="1" x14ac:dyDescent="0.2">
      <c r="A22" s="2188" t="s">
        <v>189</v>
      </c>
      <c r="B22" s="2193">
        <v>48</v>
      </c>
      <c r="C22" s="2198">
        <v>0.9698</v>
      </c>
      <c r="D22" s="2196">
        <v>50</v>
      </c>
      <c r="E22" s="2197">
        <v>0.98899999999999999</v>
      </c>
    </row>
    <row r="23" spans="1:11" ht="20.25" customHeight="1" x14ac:dyDescent="0.2">
      <c r="A23" s="2189"/>
      <c r="B23" s="2193"/>
      <c r="C23" s="2198"/>
      <c r="D23" s="2196"/>
      <c r="E23" s="2197"/>
    </row>
    <row r="24" spans="1:11" ht="20.25" customHeight="1" x14ac:dyDescent="0.2">
      <c r="A24" s="1056" t="s">
        <v>198</v>
      </c>
      <c r="B24" s="1052">
        <v>2</v>
      </c>
      <c r="C24" s="1053">
        <v>1</v>
      </c>
      <c r="D24" s="1054">
        <v>16</v>
      </c>
      <c r="E24" s="1055">
        <v>0.95</v>
      </c>
    </row>
    <row r="25" spans="1:11" ht="20.25" customHeight="1" x14ac:dyDescent="0.2">
      <c r="A25" s="1057" t="s">
        <v>324</v>
      </c>
      <c r="B25" s="1052">
        <v>51</v>
      </c>
      <c r="C25" s="1058">
        <v>0.93799999999999994</v>
      </c>
      <c r="D25" s="1054">
        <v>99</v>
      </c>
      <c r="E25" s="1059">
        <v>0.90400000000000003</v>
      </c>
    </row>
    <row r="26" spans="1:11" ht="20.25" customHeight="1" x14ac:dyDescent="0.25">
      <c r="A26" s="1057" t="s">
        <v>325</v>
      </c>
      <c r="B26" s="1052">
        <v>19</v>
      </c>
      <c r="C26" s="1058">
        <v>0.96</v>
      </c>
      <c r="D26" s="1054">
        <v>47</v>
      </c>
      <c r="E26" s="1059">
        <v>0.90200000000000002</v>
      </c>
      <c r="G26" s="163"/>
      <c r="H26" s="164"/>
      <c r="I26" s="164"/>
      <c r="J26" s="164"/>
      <c r="K26" s="165"/>
    </row>
    <row r="27" spans="1:11" ht="39.75" customHeight="1" x14ac:dyDescent="0.25">
      <c r="A27" s="289" t="s">
        <v>610</v>
      </c>
      <c r="B27" s="2160">
        <v>64</v>
      </c>
      <c r="C27" s="2161">
        <v>0.99380000000000002</v>
      </c>
      <c r="D27" s="2162">
        <v>102</v>
      </c>
      <c r="E27" s="2190">
        <v>0.998</v>
      </c>
      <c r="G27" s="166"/>
      <c r="H27" s="167"/>
      <c r="I27" s="167"/>
      <c r="J27" s="167"/>
      <c r="K27" s="167"/>
    </row>
    <row r="28" spans="1:11" ht="18" x14ac:dyDescent="0.25">
      <c r="A28" s="290" t="s">
        <v>326</v>
      </c>
      <c r="B28" s="2160"/>
      <c r="C28" s="2161"/>
      <c r="D28" s="2162"/>
      <c r="E28" s="2190"/>
      <c r="G28" s="166"/>
      <c r="H28" s="164"/>
      <c r="I28" s="164"/>
      <c r="J28" s="164"/>
      <c r="K28" s="164"/>
    </row>
    <row r="29" spans="1:11" ht="18" customHeight="1" x14ac:dyDescent="0.25">
      <c r="A29" s="2191" t="s">
        <v>193</v>
      </c>
      <c r="B29" s="2160">
        <v>310</v>
      </c>
      <c r="C29" s="2161">
        <v>1</v>
      </c>
      <c r="D29" s="2162">
        <v>305</v>
      </c>
      <c r="E29" s="2190">
        <v>1</v>
      </c>
      <c r="G29" s="163"/>
      <c r="H29" s="164"/>
      <c r="I29" s="164"/>
      <c r="J29" s="164"/>
      <c r="K29" s="165"/>
    </row>
    <row r="30" spans="1:11" ht="15.75" hidden="1" customHeight="1" x14ac:dyDescent="0.2">
      <c r="A30" s="2192"/>
      <c r="B30" s="2160"/>
      <c r="C30" s="2161"/>
      <c r="D30" s="2162"/>
      <c r="E30" s="2190"/>
    </row>
    <row r="31" spans="1:11" ht="42" customHeight="1" x14ac:dyDescent="0.2">
      <c r="A31" s="2191" t="s">
        <v>197</v>
      </c>
      <c r="B31" s="2199">
        <v>141</v>
      </c>
      <c r="C31" s="2201">
        <v>0.97160000000000002</v>
      </c>
      <c r="D31" s="2162">
        <v>151</v>
      </c>
      <c r="E31" s="2190">
        <v>0.95530000000000004</v>
      </c>
    </row>
    <row r="32" spans="1:11" ht="15.75" hidden="1" customHeight="1" x14ac:dyDescent="0.2">
      <c r="A32" s="2192"/>
      <c r="B32" s="2200"/>
      <c r="C32" s="2202"/>
      <c r="D32" s="2162"/>
      <c r="E32" s="2190"/>
    </row>
    <row r="33" spans="1:6" ht="30" customHeight="1" x14ac:dyDescent="0.2">
      <c r="A33" s="2194" t="s">
        <v>190</v>
      </c>
      <c r="B33" s="2160">
        <v>3</v>
      </c>
      <c r="C33" s="2161">
        <v>1</v>
      </c>
      <c r="D33" s="2162">
        <v>25</v>
      </c>
      <c r="E33" s="2190">
        <v>1</v>
      </c>
    </row>
    <row r="34" spans="1:6" ht="93" hidden="1" customHeight="1" x14ac:dyDescent="0.2">
      <c r="A34" s="2195"/>
      <c r="B34" s="2160"/>
      <c r="C34" s="2161"/>
      <c r="D34" s="2162"/>
      <c r="E34" s="2190"/>
    </row>
    <row r="35" spans="1:6" ht="28.5" customHeight="1" x14ac:dyDescent="0.2">
      <c r="A35" s="2191" t="s">
        <v>266</v>
      </c>
      <c r="B35" s="2160">
        <v>29</v>
      </c>
      <c r="C35" s="2161">
        <v>0.98280000000000001</v>
      </c>
      <c r="D35" s="2162">
        <v>29</v>
      </c>
      <c r="E35" s="2190">
        <v>0.99309999999999998</v>
      </c>
    </row>
    <row r="36" spans="1:6" ht="28.5" customHeight="1" x14ac:dyDescent="0.2">
      <c r="A36" s="2192"/>
      <c r="B36" s="2160"/>
      <c r="C36" s="2161"/>
      <c r="D36" s="2162"/>
      <c r="E36" s="2190"/>
      <c r="F36" s="137"/>
    </row>
    <row r="37" spans="1:6" ht="28.5" customHeight="1" x14ac:dyDescent="0.2">
      <c r="A37" s="2191" t="s">
        <v>1043</v>
      </c>
      <c r="B37" s="2160">
        <v>11</v>
      </c>
      <c r="C37" s="2161" t="s">
        <v>1044</v>
      </c>
      <c r="D37" s="2162">
        <v>12</v>
      </c>
      <c r="E37" s="2190">
        <v>0.9708</v>
      </c>
    </row>
    <row r="38" spans="1:6" ht="28.5" customHeight="1" x14ac:dyDescent="0.2">
      <c r="A38" s="2192"/>
      <c r="B38" s="2160"/>
      <c r="C38" s="2161"/>
      <c r="D38" s="2162"/>
      <c r="E38" s="2190"/>
      <c r="F38" s="137"/>
    </row>
    <row r="39" spans="1:6" ht="28.5" customHeight="1" x14ac:dyDescent="0.2">
      <c r="A39" s="2191" t="s">
        <v>720</v>
      </c>
      <c r="B39" s="2160">
        <v>23</v>
      </c>
      <c r="C39" s="2161">
        <v>0.99350000000000005</v>
      </c>
      <c r="D39" s="2162">
        <v>32</v>
      </c>
      <c r="E39" s="2190">
        <v>0.9859</v>
      </c>
    </row>
    <row r="40" spans="1:6" ht="28.5" customHeight="1" x14ac:dyDescent="0.2">
      <c r="A40" s="2192"/>
      <c r="B40" s="2160"/>
      <c r="C40" s="2161"/>
      <c r="D40" s="2162"/>
      <c r="E40" s="2190"/>
      <c r="F40" s="137"/>
    </row>
    <row r="41" spans="1:6" ht="28.5" customHeight="1" x14ac:dyDescent="0.2">
      <c r="A41" s="2191" t="s">
        <v>721</v>
      </c>
      <c r="B41" s="2160">
        <v>76</v>
      </c>
      <c r="C41" s="2161" t="s">
        <v>1045</v>
      </c>
      <c r="D41" s="2162">
        <v>79</v>
      </c>
      <c r="E41" s="2154">
        <v>0.95</v>
      </c>
    </row>
    <row r="42" spans="1:6" ht="28.5" customHeight="1" x14ac:dyDescent="0.2">
      <c r="A42" s="2192"/>
      <c r="B42" s="2160"/>
      <c r="C42" s="2161"/>
      <c r="D42" s="2162"/>
      <c r="E42" s="2154"/>
      <c r="F42" s="137"/>
    </row>
    <row r="43" spans="1:6" ht="28.5" customHeight="1" x14ac:dyDescent="0.2">
      <c r="A43" s="2155" t="s">
        <v>1046</v>
      </c>
      <c r="B43" s="2199">
        <v>18</v>
      </c>
      <c r="C43" s="2201">
        <v>0.9667</v>
      </c>
      <c r="D43" s="2209">
        <v>213</v>
      </c>
      <c r="E43" s="2212">
        <v>0.97140000000000004</v>
      </c>
    </row>
    <row r="44" spans="1:6" ht="28.5" customHeight="1" x14ac:dyDescent="0.2">
      <c r="A44" s="2156"/>
      <c r="B44" s="2207"/>
      <c r="C44" s="2208"/>
      <c r="D44" s="2210"/>
      <c r="E44" s="2213"/>
      <c r="F44" s="2178"/>
    </row>
    <row r="45" spans="1:6" ht="28.5" customHeight="1" x14ac:dyDescent="0.2">
      <c r="A45" s="2157"/>
      <c r="B45" s="2200"/>
      <c r="C45" s="2202"/>
      <c r="D45" s="2211"/>
      <c r="E45" s="2214"/>
      <c r="F45" s="2178"/>
    </row>
    <row r="46" spans="1:6" ht="28.5" customHeight="1" x14ac:dyDescent="0.2">
      <c r="A46" s="481" t="s">
        <v>833</v>
      </c>
      <c r="B46" s="1052">
        <v>27</v>
      </c>
      <c r="C46" s="1053">
        <v>0.97499999999999998</v>
      </c>
      <c r="D46" s="1054">
        <v>4</v>
      </c>
      <c r="E46" s="1051">
        <v>0.9375</v>
      </c>
      <c r="F46" s="137"/>
    </row>
    <row r="47" spans="1:6" ht="28.5" customHeight="1" x14ac:dyDescent="0.25">
      <c r="A47" s="2215" t="s">
        <v>722</v>
      </c>
      <c r="B47" s="2163">
        <v>204</v>
      </c>
      <c r="C47" s="2165">
        <v>0.96419999999999995</v>
      </c>
      <c r="D47" s="2167">
        <v>250</v>
      </c>
      <c r="E47" s="2169">
        <v>0.96379999999999999</v>
      </c>
      <c r="F47" s="138"/>
    </row>
    <row r="48" spans="1:6" ht="28.5" customHeight="1" x14ac:dyDescent="0.2">
      <c r="A48" s="2216"/>
      <c r="B48" s="2164"/>
      <c r="C48" s="2166"/>
      <c r="D48" s="2168"/>
      <c r="E48" s="2170"/>
    </row>
    <row r="49" spans="1:17" ht="28.5" customHeight="1" x14ac:dyDescent="0.25">
      <c r="A49" s="1037"/>
      <c r="B49" s="1038"/>
      <c r="C49" s="1039"/>
      <c r="D49" s="1040"/>
      <c r="E49" s="1041"/>
      <c r="H49" s="1541"/>
    </row>
    <row r="50" spans="1:17" ht="28.5" customHeight="1" x14ac:dyDescent="0.2">
      <c r="A50" s="2205" t="s">
        <v>834</v>
      </c>
      <c r="B50" s="2160">
        <v>6</v>
      </c>
      <c r="C50" s="2161">
        <v>0.95</v>
      </c>
      <c r="D50" s="2162">
        <v>30</v>
      </c>
      <c r="E50" s="2154" t="s">
        <v>1241</v>
      </c>
      <c r="G50" s="137"/>
    </row>
    <row r="51" spans="1:17" ht="28.5" customHeight="1" x14ac:dyDescent="0.2">
      <c r="A51" s="2206"/>
      <c r="B51" s="2160"/>
      <c r="C51" s="2161"/>
      <c r="D51" s="2162"/>
      <c r="E51" s="2154"/>
    </row>
    <row r="52" spans="1:17" ht="28.5" customHeight="1" x14ac:dyDescent="0.2">
      <c r="A52" s="2158" t="s">
        <v>1175</v>
      </c>
      <c r="B52" s="2160">
        <v>3</v>
      </c>
      <c r="C52" s="2161">
        <v>0.93330000000000002</v>
      </c>
      <c r="D52" s="2162">
        <v>20</v>
      </c>
      <c r="E52" s="2154">
        <v>0.99250000000000005</v>
      </c>
    </row>
    <row r="53" spans="1:17" ht="28.5" customHeight="1" x14ac:dyDescent="0.2">
      <c r="A53" s="2159"/>
      <c r="B53" s="2160"/>
      <c r="C53" s="2161"/>
      <c r="D53" s="2162"/>
      <c r="E53" s="2154"/>
    </row>
    <row r="54" spans="1:17" ht="28.5" customHeight="1" x14ac:dyDescent="0.2">
      <c r="A54" s="2171" t="s">
        <v>436</v>
      </c>
      <c r="B54" s="2160">
        <v>18</v>
      </c>
      <c r="C54" s="2161">
        <v>0.98609999999999998</v>
      </c>
      <c r="D54" s="2162">
        <v>22</v>
      </c>
      <c r="E54" s="2154">
        <v>0.99319999999999997</v>
      </c>
    </row>
    <row r="55" spans="1:17" ht="12.75" customHeight="1" x14ac:dyDescent="0.2">
      <c r="A55" s="2172"/>
      <c r="B55" s="2160"/>
      <c r="C55" s="2161"/>
      <c r="D55" s="2162"/>
      <c r="E55" s="2154"/>
    </row>
    <row r="56" spans="1:17" ht="31.5" customHeight="1" x14ac:dyDescent="0.2">
      <c r="A56" s="2171" t="s">
        <v>558</v>
      </c>
      <c r="B56" s="2160">
        <v>27</v>
      </c>
      <c r="C56" s="2161">
        <v>0.9667</v>
      </c>
      <c r="D56" s="2162">
        <v>24</v>
      </c>
      <c r="E56" s="2154" t="s">
        <v>1242</v>
      </c>
    </row>
    <row r="57" spans="1:17" ht="12.75" customHeight="1" x14ac:dyDescent="0.2">
      <c r="A57" s="2172"/>
      <c r="B57" s="2160"/>
      <c r="C57" s="2161"/>
      <c r="D57" s="2162"/>
      <c r="E57" s="2154"/>
    </row>
    <row r="58" spans="1:17" ht="25.5" customHeight="1" x14ac:dyDescent="0.25">
      <c r="A58" s="481" t="s">
        <v>835</v>
      </c>
      <c r="B58" s="1038"/>
      <c r="C58" s="1039"/>
      <c r="D58" s="1040"/>
      <c r="E58" s="1042"/>
      <c r="F58" s="483"/>
      <c r="G58" s="242"/>
      <c r="H58" s="242"/>
      <c r="M58" s="38"/>
      <c r="N58" s="38"/>
      <c r="O58" s="38"/>
      <c r="P58" s="38"/>
    </row>
    <row r="59" spans="1:17" ht="15.75" customHeight="1" x14ac:dyDescent="0.25">
      <c r="A59" s="2158" t="s">
        <v>1176</v>
      </c>
      <c r="B59" s="2160"/>
      <c r="C59" s="2161"/>
      <c r="D59" s="2162">
        <v>13</v>
      </c>
      <c r="E59" s="2154">
        <v>0.97689999999999999</v>
      </c>
      <c r="G59" s="242"/>
      <c r="H59" s="242"/>
      <c r="M59" s="38"/>
      <c r="N59" s="38"/>
      <c r="O59" s="38"/>
      <c r="P59" s="38"/>
      <c r="Q59" s="38"/>
    </row>
    <row r="60" spans="1:17" ht="30" customHeight="1" x14ac:dyDescent="0.2">
      <c r="A60" s="2159"/>
      <c r="B60" s="2160"/>
      <c r="C60" s="2161"/>
      <c r="D60" s="2162"/>
      <c r="E60" s="2154"/>
      <c r="G60" s="242"/>
      <c r="H60" s="242"/>
    </row>
    <row r="61" spans="1:17" ht="18" x14ac:dyDescent="0.2">
      <c r="A61" s="481" t="s">
        <v>117</v>
      </c>
      <c r="B61" s="971">
        <f>SUM(B20:B59)</f>
        <v>1206</v>
      </c>
      <c r="C61" s="972">
        <f>AVERAGE(C20:C59)</f>
        <v>0.97276666666666656</v>
      </c>
      <c r="D61" s="971">
        <f>SUM(D20:D59)</f>
        <v>1610</v>
      </c>
      <c r="E61" s="972">
        <f>AVERAGE(E20:E59)</f>
        <v>0.96939473684210531</v>
      </c>
      <c r="G61" s="242"/>
      <c r="H61" s="242"/>
    </row>
    <row r="62" spans="1:17" x14ac:dyDescent="0.2">
      <c r="G62" s="242"/>
      <c r="H62" s="242"/>
    </row>
  </sheetData>
  <mergeCells count="94">
    <mergeCell ref="B54:B55"/>
    <mergeCell ref="C54:C55"/>
    <mergeCell ref="D54:D55"/>
    <mergeCell ref="E54:E55"/>
    <mergeCell ref="A56:A57"/>
    <mergeCell ref="B56:B57"/>
    <mergeCell ref="C56:C57"/>
    <mergeCell ref="D56:D57"/>
    <mergeCell ref="E56:E57"/>
    <mergeCell ref="A8:P8"/>
    <mergeCell ref="A50:A51"/>
    <mergeCell ref="B50:B51"/>
    <mergeCell ref="C50:C51"/>
    <mergeCell ref="D50:D51"/>
    <mergeCell ref="E50:E51"/>
    <mergeCell ref="B43:B45"/>
    <mergeCell ref="C43:C45"/>
    <mergeCell ref="D43:D45"/>
    <mergeCell ref="E43:E45"/>
    <mergeCell ref="B39:B40"/>
    <mergeCell ref="C39:C40"/>
    <mergeCell ref="D39:D40"/>
    <mergeCell ref="E39:E40"/>
    <mergeCell ref="B41:B42"/>
    <mergeCell ref="A47:A48"/>
    <mergeCell ref="C41:C42"/>
    <mergeCell ref="D41:D42"/>
    <mergeCell ref="E41:E42"/>
    <mergeCell ref="B35:B36"/>
    <mergeCell ref="C35:C36"/>
    <mergeCell ref="D35:D36"/>
    <mergeCell ref="E35:E36"/>
    <mergeCell ref="B37:B38"/>
    <mergeCell ref="C37:C38"/>
    <mergeCell ref="D37:D38"/>
    <mergeCell ref="E37:E38"/>
    <mergeCell ref="B31:B32"/>
    <mergeCell ref="C31:C32"/>
    <mergeCell ref="D31:D32"/>
    <mergeCell ref="E31:E32"/>
    <mergeCell ref="B33:B34"/>
    <mergeCell ref="C33:C34"/>
    <mergeCell ref="D33:D34"/>
    <mergeCell ref="E33:E34"/>
    <mergeCell ref="D22:D23"/>
    <mergeCell ref="E22:E23"/>
    <mergeCell ref="B29:B30"/>
    <mergeCell ref="C29:C30"/>
    <mergeCell ref="D29:D30"/>
    <mergeCell ref="E29:E30"/>
    <mergeCell ref="C22:C23"/>
    <mergeCell ref="A14:P14"/>
    <mergeCell ref="B20:B21"/>
    <mergeCell ref="C20:C21"/>
    <mergeCell ref="D20:D21"/>
    <mergeCell ref="E20:E21"/>
    <mergeCell ref="A15:P15"/>
    <mergeCell ref="A33:A34"/>
    <mergeCell ref="A35:A36"/>
    <mergeCell ref="A37:A38"/>
    <mergeCell ref="A39:A40"/>
    <mergeCell ref="A41:A42"/>
    <mergeCell ref="A2:P2"/>
    <mergeCell ref="A13:P13"/>
    <mergeCell ref="F44:F45"/>
    <mergeCell ref="A17:E17"/>
    <mergeCell ref="A18:A19"/>
    <mergeCell ref="B18:C18"/>
    <mergeCell ref="D18:E18"/>
    <mergeCell ref="A20:A21"/>
    <mergeCell ref="A22:A23"/>
    <mergeCell ref="B27:B28"/>
    <mergeCell ref="C27:C28"/>
    <mergeCell ref="D27:D28"/>
    <mergeCell ref="E27:E28"/>
    <mergeCell ref="A29:A30"/>
    <mergeCell ref="A31:A32"/>
    <mergeCell ref="B22:B23"/>
    <mergeCell ref="E59:E60"/>
    <mergeCell ref="A43:A45"/>
    <mergeCell ref="A59:A60"/>
    <mergeCell ref="B59:B60"/>
    <mergeCell ref="C59:C60"/>
    <mergeCell ref="D59:D60"/>
    <mergeCell ref="A52:A53"/>
    <mergeCell ref="B52:B53"/>
    <mergeCell ref="C52:C53"/>
    <mergeCell ref="D52:D53"/>
    <mergeCell ref="E52:E53"/>
    <mergeCell ref="B47:B48"/>
    <mergeCell ref="C47:C48"/>
    <mergeCell ref="D47:D48"/>
    <mergeCell ref="E47:E48"/>
    <mergeCell ref="A54:A55"/>
  </mergeCells>
  <pageMargins left="0.75" right="0.75" top="1" bottom="1" header="0" footer="0"/>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5"/>
  <sheetViews>
    <sheetView topLeftCell="A39" zoomScale="70" zoomScaleNormal="70" workbookViewId="0">
      <selection activeCell="A39" sqref="A39:W39"/>
    </sheetView>
  </sheetViews>
  <sheetFormatPr baseColWidth="10" defaultRowHeight="12.75" x14ac:dyDescent="0.2"/>
  <cols>
    <col min="1" max="1" width="37.7109375" style="484" customWidth="1"/>
    <col min="2" max="2" width="8" style="485" customWidth="1"/>
    <col min="3" max="3" width="13.28515625" style="485" customWidth="1"/>
    <col min="4" max="4" width="7.42578125" style="485" customWidth="1"/>
    <col min="5" max="5" width="12.85546875" style="485" customWidth="1"/>
    <col min="6" max="6" width="10.85546875" style="485" customWidth="1"/>
    <col min="7" max="7" width="11.85546875" style="485" customWidth="1"/>
    <col min="8" max="8" width="22.85546875" style="484" customWidth="1"/>
    <col min="9" max="9" width="10.42578125" style="485" customWidth="1"/>
    <col min="10" max="10" width="10.5703125" style="485" customWidth="1"/>
    <col min="11" max="11" width="10.7109375" style="484" customWidth="1"/>
    <col min="12" max="12" width="9.28515625" style="484" customWidth="1"/>
    <col min="13" max="13" width="9" style="484" customWidth="1"/>
    <col min="14" max="14" width="10.42578125" style="484" customWidth="1"/>
    <col min="15" max="15" width="8" style="484" customWidth="1"/>
    <col min="16" max="16" width="12.85546875" style="484" customWidth="1"/>
    <col min="17" max="17" width="6.7109375" style="484" customWidth="1"/>
    <col min="18" max="18" width="12.28515625" style="484" customWidth="1"/>
    <col min="19" max="19" width="6.85546875" style="484" customWidth="1"/>
    <col min="20" max="20" width="15.28515625" style="484" customWidth="1"/>
    <col min="21" max="21" width="9.42578125" style="484" customWidth="1"/>
    <col min="22" max="25" width="6.85546875" style="484" customWidth="1"/>
    <col min="26" max="26" width="7.5703125" style="484" customWidth="1"/>
    <col min="27" max="27" width="9.140625" style="484" customWidth="1"/>
    <col min="28" max="28" width="6.28515625" style="484" customWidth="1"/>
    <col min="29" max="30" width="30.85546875" style="484" customWidth="1"/>
    <col min="31" max="256" width="11.42578125" style="484"/>
    <col min="257" max="257" width="37.7109375" style="484" customWidth="1"/>
    <col min="258" max="258" width="8" style="484" customWidth="1"/>
    <col min="259" max="259" width="13.28515625" style="484" customWidth="1"/>
    <col min="260" max="260" width="7.42578125" style="484" customWidth="1"/>
    <col min="261" max="261" width="12.85546875" style="484" customWidth="1"/>
    <col min="262" max="262" width="10.85546875" style="484" customWidth="1"/>
    <col min="263" max="263" width="11.85546875" style="484" customWidth="1"/>
    <col min="264" max="264" width="22.85546875" style="484" customWidth="1"/>
    <col min="265" max="265" width="10.42578125" style="484" customWidth="1"/>
    <col min="266" max="266" width="10.5703125" style="484" customWidth="1"/>
    <col min="267" max="267" width="10.7109375" style="484" customWidth="1"/>
    <col min="268" max="268" width="9.28515625" style="484" customWidth="1"/>
    <col min="269" max="269" width="9" style="484" customWidth="1"/>
    <col min="270" max="270" width="10.42578125" style="484" customWidth="1"/>
    <col min="271" max="271" width="8" style="484" customWidth="1"/>
    <col min="272" max="272" width="12.85546875" style="484" customWidth="1"/>
    <col min="273" max="273" width="6.7109375" style="484" customWidth="1"/>
    <col min="274" max="274" width="12.28515625" style="484" customWidth="1"/>
    <col min="275" max="275" width="6.85546875" style="484" customWidth="1"/>
    <col min="276" max="276" width="15.28515625" style="484" customWidth="1"/>
    <col min="277" max="277" width="9.42578125" style="484" customWidth="1"/>
    <col min="278" max="281" width="6.85546875" style="484" customWidth="1"/>
    <col min="282" max="282" width="7.5703125" style="484" customWidth="1"/>
    <col min="283" max="283" width="9.140625" style="484" customWidth="1"/>
    <col min="284" max="284" width="6.28515625" style="484" customWidth="1"/>
    <col min="285" max="286" width="30.85546875" style="484" customWidth="1"/>
    <col min="287" max="512" width="11.42578125" style="484"/>
    <col min="513" max="513" width="37.7109375" style="484" customWidth="1"/>
    <col min="514" max="514" width="8" style="484" customWidth="1"/>
    <col min="515" max="515" width="13.28515625" style="484" customWidth="1"/>
    <col min="516" max="516" width="7.42578125" style="484" customWidth="1"/>
    <col min="517" max="517" width="12.85546875" style="484" customWidth="1"/>
    <col min="518" max="518" width="10.85546875" style="484" customWidth="1"/>
    <col min="519" max="519" width="11.85546875" style="484" customWidth="1"/>
    <col min="520" max="520" width="22.85546875" style="484" customWidth="1"/>
    <col min="521" max="521" width="10.42578125" style="484" customWidth="1"/>
    <col min="522" max="522" width="10.5703125" style="484" customWidth="1"/>
    <col min="523" max="523" width="10.7109375" style="484" customWidth="1"/>
    <col min="524" max="524" width="9.28515625" style="484" customWidth="1"/>
    <col min="525" max="525" width="9" style="484" customWidth="1"/>
    <col min="526" max="526" width="10.42578125" style="484" customWidth="1"/>
    <col min="527" max="527" width="8" style="484" customWidth="1"/>
    <col min="528" max="528" width="12.85546875" style="484" customWidth="1"/>
    <col min="529" max="529" width="6.7109375" style="484" customWidth="1"/>
    <col min="530" max="530" width="12.28515625" style="484" customWidth="1"/>
    <col min="531" max="531" width="6.85546875" style="484" customWidth="1"/>
    <col min="532" max="532" width="15.28515625" style="484" customWidth="1"/>
    <col min="533" max="533" width="9.42578125" style="484" customWidth="1"/>
    <col min="534" max="537" width="6.85546875" style="484" customWidth="1"/>
    <col min="538" max="538" width="7.5703125" style="484" customWidth="1"/>
    <col min="539" max="539" width="9.140625" style="484" customWidth="1"/>
    <col min="540" max="540" width="6.28515625" style="484" customWidth="1"/>
    <col min="541" max="542" width="30.85546875" style="484" customWidth="1"/>
    <col min="543" max="768" width="11.42578125" style="484"/>
    <col min="769" max="769" width="37.7109375" style="484" customWidth="1"/>
    <col min="770" max="770" width="8" style="484" customWidth="1"/>
    <col min="771" max="771" width="13.28515625" style="484" customWidth="1"/>
    <col min="772" max="772" width="7.42578125" style="484" customWidth="1"/>
    <col min="773" max="773" width="12.85546875" style="484" customWidth="1"/>
    <col min="774" max="774" width="10.85546875" style="484" customWidth="1"/>
    <col min="775" max="775" width="11.85546875" style="484" customWidth="1"/>
    <col min="776" max="776" width="22.85546875" style="484" customWidth="1"/>
    <col min="777" max="777" width="10.42578125" style="484" customWidth="1"/>
    <col min="778" max="778" width="10.5703125" style="484" customWidth="1"/>
    <col min="779" max="779" width="10.7109375" style="484" customWidth="1"/>
    <col min="780" max="780" width="9.28515625" style="484" customWidth="1"/>
    <col min="781" max="781" width="9" style="484" customWidth="1"/>
    <col min="782" max="782" width="10.42578125" style="484" customWidth="1"/>
    <col min="783" max="783" width="8" style="484" customWidth="1"/>
    <col min="784" max="784" width="12.85546875" style="484" customWidth="1"/>
    <col min="785" max="785" width="6.7109375" style="484" customWidth="1"/>
    <col min="786" max="786" width="12.28515625" style="484" customWidth="1"/>
    <col min="787" max="787" width="6.85546875" style="484" customWidth="1"/>
    <col min="788" max="788" width="15.28515625" style="484" customWidth="1"/>
    <col min="789" max="789" width="9.42578125" style="484" customWidth="1"/>
    <col min="790" max="793" width="6.85546875" style="484" customWidth="1"/>
    <col min="794" max="794" width="7.5703125" style="484" customWidth="1"/>
    <col min="795" max="795" width="9.140625" style="484" customWidth="1"/>
    <col min="796" max="796" width="6.28515625" style="484" customWidth="1"/>
    <col min="797" max="798" width="30.85546875" style="484" customWidth="1"/>
    <col min="799" max="1024" width="11.42578125" style="484"/>
    <col min="1025" max="1025" width="37.7109375" style="484" customWidth="1"/>
    <col min="1026" max="1026" width="8" style="484" customWidth="1"/>
    <col min="1027" max="1027" width="13.28515625" style="484" customWidth="1"/>
    <col min="1028" max="1028" width="7.42578125" style="484" customWidth="1"/>
    <col min="1029" max="1029" width="12.85546875" style="484" customWidth="1"/>
    <col min="1030" max="1030" width="10.85546875" style="484" customWidth="1"/>
    <col min="1031" max="1031" width="11.85546875" style="484" customWidth="1"/>
    <col min="1032" max="1032" width="22.85546875" style="484" customWidth="1"/>
    <col min="1033" max="1033" width="10.42578125" style="484" customWidth="1"/>
    <col min="1034" max="1034" width="10.5703125" style="484" customWidth="1"/>
    <col min="1035" max="1035" width="10.7109375" style="484" customWidth="1"/>
    <col min="1036" max="1036" width="9.28515625" style="484" customWidth="1"/>
    <col min="1037" max="1037" width="9" style="484" customWidth="1"/>
    <col min="1038" max="1038" width="10.42578125" style="484" customWidth="1"/>
    <col min="1039" max="1039" width="8" style="484" customWidth="1"/>
    <col min="1040" max="1040" width="12.85546875" style="484" customWidth="1"/>
    <col min="1041" max="1041" width="6.7109375" style="484" customWidth="1"/>
    <col min="1042" max="1042" width="12.28515625" style="484" customWidth="1"/>
    <col min="1043" max="1043" width="6.85546875" style="484" customWidth="1"/>
    <col min="1044" max="1044" width="15.28515625" style="484" customWidth="1"/>
    <col min="1045" max="1045" width="9.42578125" style="484" customWidth="1"/>
    <col min="1046" max="1049" width="6.85546875" style="484" customWidth="1"/>
    <col min="1050" max="1050" width="7.5703125" style="484" customWidth="1"/>
    <col min="1051" max="1051" width="9.140625" style="484" customWidth="1"/>
    <col min="1052" max="1052" width="6.28515625" style="484" customWidth="1"/>
    <col min="1053" max="1054" width="30.85546875" style="484" customWidth="1"/>
    <col min="1055" max="1280" width="11.42578125" style="484"/>
    <col min="1281" max="1281" width="37.7109375" style="484" customWidth="1"/>
    <col min="1282" max="1282" width="8" style="484" customWidth="1"/>
    <col min="1283" max="1283" width="13.28515625" style="484" customWidth="1"/>
    <col min="1284" max="1284" width="7.42578125" style="484" customWidth="1"/>
    <col min="1285" max="1285" width="12.85546875" style="484" customWidth="1"/>
    <col min="1286" max="1286" width="10.85546875" style="484" customWidth="1"/>
    <col min="1287" max="1287" width="11.85546875" style="484" customWidth="1"/>
    <col min="1288" max="1288" width="22.85546875" style="484" customWidth="1"/>
    <col min="1289" max="1289" width="10.42578125" style="484" customWidth="1"/>
    <col min="1290" max="1290" width="10.5703125" style="484" customWidth="1"/>
    <col min="1291" max="1291" width="10.7109375" style="484" customWidth="1"/>
    <col min="1292" max="1292" width="9.28515625" style="484" customWidth="1"/>
    <col min="1293" max="1293" width="9" style="484" customWidth="1"/>
    <col min="1294" max="1294" width="10.42578125" style="484" customWidth="1"/>
    <col min="1295" max="1295" width="8" style="484" customWidth="1"/>
    <col min="1296" max="1296" width="12.85546875" style="484" customWidth="1"/>
    <col min="1297" max="1297" width="6.7109375" style="484" customWidth="1"/>
    <col min="1298" max="1298" width="12.28515625" style="484" customWidth="1"/>
    <col min="1299" max="1299" width="6.85546875" style="484" customWidth="1"/>
    <col min="1300" max="1300" width="15.28515625" style="484" customWidth="1"/>
    <col min="1301" max="1301" width="9.42578125" style="484" customWidth="1"/>
    <col min="1302" max="1305" width="6.85546875" style="484" customWidth="1"/>
    <col min="1306" max="1306" width="7.5703125" style="484" customWidth="1"/>
    <col min="1307" max="1307" width="9.140625" style="484" customWidth="1"/>
    <col min="1308" max="1308" width="6.28515625" style="484" customWidth="1"/>
    <col min="1309" max="1310" width="30.85546875" style="484" customWidth="1"/>
    <col min="1311" max="1536" width="11.42578125" style="484"/>
    <col min="1537" max="1537" width="37.7109375" style="484" customWidth="1"/>
    <col min="1538" max="1538" width="8" style="484" customWidth="1"/>
    <col min="1539" max="1539" width="13.28515625" style="484" customWidth="1"/>
    <col min="1540" max="1540" width="7.42578125" style="484" customWidth="1"/>
    <col min="1541" max="1541" width="12.85546875" style="484" customWidth="1"/>
    <col min="1542" max="1542" width="10.85546875" style="484" customWidth="1"/>
    <col min="1543" max="1543" width="11.85546875" style="484" customWidth="1"/>
    <col min="1544" max="1544" width="22.85546875" style="484" customWidth="1"/>
    <col min="1545" max="1545" width="10.42578125" style="484" customWidth="1"/>
    <col min="1546" max="1546" width="10.5703125" style="484" customWidth="1"/>
    <col min="1547" max="1547" width="10.7109375" style="484" customWidth="1"/>
    <col min="1548" max="1548" width="9.28515625" style="484" customWidth="1"/>
    <col min="1549" max="1549" width="9" style="484" customWidth="1"/>
    <col min="1550" max="1550" width="10.42578125" style="484" customWidth="1"/>
    <col min="1551" max="1551" width="8" style="484" customWidth="1"/>
    <col min="1552" max="1552" width="12.85546875" style="484" customWidth="1"/>
    <col min="1553" max="1553" width="6.7109375" style="484" customWidth="1"/>
    <col min="1554" max="1554" width="12.28515625" style="484" customWidth="1"/>
    <col min="1555" max="1555" width="6.85546875" style="484" customWidth="1"/>
    <col min="1556" max="1556" width="15.28515625" style="484" customWidth="1"/>
    <col min="1557" max="1557" width="9.42578125" style="484" customWidth="1"/>
    <col min="1558" max="1561" width="6.85546875" style="484" customWidth="1"/>
    <col min="1562" max="1562" width="7.5703125" style="484" customWidth="1"/>
    <col min="1563" max="1563" width="9.140625" style="484" customWidth="1"/>
    <col min="1564" max="1564" width="6.28515625" style="484" customWidth="1"/>
    <col min="1565" max="1566" width="30.85546875" style="484" customWidth="1"/>
    <col min="1567" max="1792" width="11.42578125" style="484"/>
    <col min="1793" max="1793" width="37.7109375" style="484" customWidth="1"/>
    <col min="1794" max="1794" width="8" style="484" customWidth="1"/>
    <col min="1795" max="1795" width="13.28515625" style="484" customWidth="1"/>
    <col min="1796" max="1796" width="7.42578125" style="484" customWidth="1"/>
    <col min="1797" max="1797" width="12.85546875" style="484" customWidth="1"/>
    <col min="1798" max="1798" width="10.85546875" style="484" customWidth="1"/>
    <col min="1799" max="1799" width="11.85546875" style="484" customWidth="1"/>
    <col min="1800" max="1800" width="22.85546875" style="484" customWidth="1"/>
    <col min="1801" max="1801" width="10.42578125" style="484" customWidth="1"/>
    <col min="1802" max="1802" width="10.5703125" style="484" customWidth="1"/>
    <col min="1803" max="1803" width="10.7109375" style="484" customWidth="1"/>
    <col min="1804" max="1804" width="9.28515625" style="484" customWidth="1"/>
    <col min="1805" max="1805" width="9" style="484" customWidth="1"/>
    <col min="1806" max="1806" width="10.42578125" style="484" customWidth="1"/>
    <col min="1807" max="1807" width="8" style="484" customWidth="1"/>
    <col min="1808" max="1808" width="12.85546875" style="484" customWidth="1"/>
    <col min="1809" max="1809" width="6.7109375" style="484" customWidth="1"/>
    <col min="1810" max="1810" width="12.28515625" style="484" customWidth="1"/>
    <col min="1811" max="1811" width="6.85546875" style="484" customWidth="1"/>
    <col min="1812" max="1812" width="15.28515625" style="484" customWidth="1"/>
    <col min="1813" max="1813" width="9.42578125" style="484" customWidth="1"/>
    <col min="1814" max="1817" width="6.85546875" style="484" customWidth="1"/>
    <col min="1818" max="1818" width="7.5703125" style="484" customWidth="1"/>
    <col min="1819" max="1819" width="9.140625" style="484" customWidth="1"/>
    <col min="1820" max="1820" width="6.28515625" style="484" customWidth="1"/>
    <col min="1821" max="1822" width="30.85546875" style="484" customWidth="1"/>
    <col min="1823" max="2048" width="11.42578125" style="484"/>
    <col min="2049" max="2049" width="37.7109375" style="484" customWidth="1"/>
    <col min="2050" max="2050" width="8" style="484" customWidth="1"/>
    <col min="2051" max="2051" width="13.28515625" style="484" customWidth="1"/>
    <col min="2052" max="2052" width="7.42578125" style="484" customWidth="1"/>
    <col min="2053" max="2053" width="12.85546875" style="484" customWidth="1"/>
    <col min="2054" max="2054" width="10.85546875" style="484" customWidth="1"/>
    <col min="2055" max="2055" width="11.85546875" style="484" customWidth="1"/>
    <col min="2056" max="2056" width="22.85546875" style="484" customWidth="1"/>
    <col min="2057" max="2057" width="10.42578125" style="484" customWidth="1"/>
    <col min="2058" max="2058" width="10.5703125" style="484" customWidth="1"/>
    <col min="2059" max="2059" width="10.7109375" style="484" customWidth="1"/>
    <col min="2060" max="2060" width="9.28515625" style="484" customWidth="1"/>
    <col min="2061" max="2061" width="9" style="484" customWidth="1"/>
    <col min="2062" max="2062" width="10.42578125" style="484" customWidth="1"/>
    <col min="2063" max="2063" width="8" style="484" customWidth="1"/>
    <col min="2064" max="2064" width="12.85546875" style="484" customWidth="1"/>
    <col min="2065" max="2065" width="6.7109375" style="484" customWidth="1"/>
    <col min="2066" max="2066" width="12.28515625" style="484" customWidth="1"/>
    <col min="2067" max="2067" width="6.85546875" style="484" customWidth="1"/>
    <col min="2068" max="2068" width="15.28515625" style="484" customWidth="1"/>
    <col min="2069" max="2069" width="9.42578125" style="484" customWidth="1"/>
    <col min="2070" max="2073" width="6.85546875" style="484" customWidth="1"/>
    <col min="2074" max="2074" width="7.5703125" style="484" customWidth="1"/>
    <col min="2075" max="2075" width="9.140625" style="484" customWidth="1"/>
    <col min="2076" max="2076" width="6.28515625" style="484" customWidth="1"/>
    <col min="2077" max="2078" width="30.85546875" style="484" customWidth="1"/>
    <col min="2079" max="2304" width="11.42578125" style="484"/>
    <col min="2305" max="2305" width="37.7109375" style="484" customWidth="1"/>
    <col min="2306" max="2306" width="8" style="484" customWidth="1"/>
    <col min="2307" max="2307" width="13.28515625" style="484" customWidth="1"/>
    <col min="2308" max="2308" width="7.42578125" style="484" customWidth="1"/>
    <col min="2309" max="2309" width="12.85546875" style="484" customWidth="1"/>
    <col min="2310" max="2310" width="10.85546875" style="484" customWidth="1"/>
    <col min="2311" max="2311" width="11.85546875" style="484" customWidth="1"/>
    <col min="2312" max="2312" width="22.85546875" style="484" customWidth="1"/>
    <col min="2313" max="2313" width="10.42578125" style="484" customWidth="1"/>
    <col min="2314" max="2314" width="10.5703125" style="484" customWidth="1"/>
    <col min="2315" max="2315" width="10.7109375" style="484" customWidth="1"/>
    <col min="2316" max="2316" width="9.28515625" style="484" customWidth="1"/>
    <col min="2317" max="2317" width="9" style="484" customWidth="1"/>
    <col min="2318" max="2318" width="10.42578125" style="484" customWidth="1"/>
    <col min="2319" max="2319" width="8" style="484" customWidth="1"/>
    <col min="2320" max="2320" width="12.85546875" style="484" customWidth="1"/>
    <col min="2321" max="2321" width="6.7109375" style="484" customWidth="1"/>
    <col min="2322" max="2322" width="12.28515625" style="484" customWidth="1"/>
    <col min="2323" max="2323" width="6.85546875" style="484" customWidth="1"/>
    <col min="2324" max="2324" width="15.28515625" style="484" customWidth="1"/>
    <col min="2325" max="2325" width="9.42578125" style="484" customWidth="1"/>
    <col min="2326" max="2329" width="6.85546875" style="484" customWidth="1"/>
    <col min="2330" max="2330" width="7.5703125" style="484" customWidth="1"/>
    <col min="2331" max="2331" width="9.140625" style="484" customWidth="1"/>
    <col min="2332" max="2332" width="6.28515625" style="484" customWidth="1"/>
    <col min="2333" max="2334" width="30.85546875" style="484" customWidth="1"/>
    <col min="2335" max="2560" width="11.42578125" style="484"/>
    <col min="2561" max="2561" width="37.7109375" style="484" customWidth="1"/>
    <col min="2562" max="2562" width="8" style="484" customWidth="1"/>
    <col min="2563" max="2563" width="13.28515625" style="484" customWidth="1"/>
    <col min="2564" max="2564" width="7.42578125" style="484" customWidth="1"/>
    <col min="2565" max="2565" width="12.85546875" style="484" customWidth="1"/>
    <col min="2566" max="2566" width="10.85546875" style="484" customWidth="1"/>
    <col min="2567" max="2567" width="11.85546875" style="484" customWidth="1"/>
    <col min="2568" max="2568" width="22.85546875" style="484" customWidth="1"/>
    <col min="2569" max="2569" width="10.42578125" style="484" customWidth="1"/>
    <col min="2570" max="2570" width="10.5703125" style="484" customWidth="1"/>
    <col min="2571" max="2571" width="10.7109375" style="484" customWidth="1"/>
    <col min="2572" max="2572" width="9.28515625" style="484" customWidth="1"/>
    <col min="2573" max="2573" width="9" style="484" customWidth="1"/>
    <col min="2574" max="2574" width="10.42578125" style="484" customWidth="1"/>
    <col min="2575" max="2575" width="8" style="484" customWidth="1"/>
    <col min="2576" max="2576" width="12.85546875" style="484" customWidth="1"/>
    <col min="2577" max="2577" width="6.7109375" style="484" customWidth="1"/>
    <col min="2578" max="2578" width="12.28515625" style="484" customWidth="1"/>
    <col min="2579" max="2579" width="6.85546875" style="484" customWidth="1"/>
    <col min="2580" max="2580" width="15.28515625" style="484" customWidth="1"/>
    <col min="2581" max="2581" width="9.42578125" style="484" customWidth="1"/>
    <col min="2582" max="2585" width="6.85546875" style="484" customWidth="1"/>
    <col min="2586" max="2586" width="7.5703125" style="484" customWidth="1"/>
    <col min="2587" max="2587" width="9.140625" style="484" customWidth="1"/>
    <col min="2588" max="2588" width="6.28515625" style="484" customWidth="1"/>
    <col min="2589" max="2590" width="30.85546875" style="484" customWidth="1"/>
    <col min="2591" max="2816" width="11.42578125" style="484"/>
    <col min="2817" max="2817" width="37.7109375" style="484" customWidth="1"/>
    <col min="2818" max="2818" width="8" style="484" customWidth="1"/>
    <col min="2819" max="2819" width="13.28515625" style="484" customWidth="1"/>
    <col min="2820" max="2820" width="7.42578125" style="484" customWidth="1"/>
    <col min="2821" max="2821" width="12.85546875" style="484" customWidth="1"/>
    <col min="2822" max="2822" width="10.85546875" style="484" customWidth="1"/>
    <col min="2823" max="2823" width="11.85546875" style="484" customWidth="1"/>
    <col min="2824" max="2824" width="22.85546875" style="484" customWidth="1"/>
    <col min="2825" max="2825" width="10.42578125" style="484" customWidth="1"/>
    <col min="2826" max="2826" width="10.5703125" style="484" customWidth="1"/>
    <col min="2827" max="2827" width="10.7109375" style="484" customWidth="1"/>
    <col min="2828" max="2828" width="9.28515625" style="484" customWidth="1"/>
    <col min="2829" max="2829" width="9" style="484" customWidth="1"/>
    <col min="2830" max="2830" width="10.42578125" style="484" customWidth="1"/>
    <col min="2831" max="2831" width="8" style="484" customWidth="1"/>
    <col min="2832" max="2832" width="12.85546875" style="484" customWidth="1"/>
    <col min="2833" max="2833" width="6.7109375" style="484" customWidth="1"/>
    <col min="2834" max="2834" width="12.28515625" style="484" customWidth="1"/>
    <col min="2835" max="2835" width="6.85546875" style="484" customWidth="1"/>
    <col min="2836" max="2836" width="15.28515625" style="484" customWidth="1"/>
    <col min="2837" max="2837" width="9.42578125" style="484" customWidth="1"/>
    <col min="2838" max="2841" width="6.85546875" style="484" customWidth="1"/>
    <col min="2842" max="2842" width="7.5703125" style="484" customWidth="1"/>
    <col min="2843" max="2843" width="9.140625" style="484" customWidth="1"/>
    <col min="2844" max="2844" width="6.28515625" style="484" customWidth="1"/>
    <col min="2845" max="2846" width="30.85546875" style="484" customWidth="1"/>
    <col min="2847" max="3072" width="11.42578125" style="484"/>
    <col min="3073" max="3073" width="37.7109375" style="484" customWidth="1"/>
    <col min="3074" max="3074" width="8" style="484" customWidth="1"/>
    <col min="3075" max="3075" width="13.28515625" style="484" customWidth="1"/>
    <col min="3076" max="3076" width="7.42578125" style="484" customWidth="1"/>
    <col min="3077" max="3077" width="12.85546875" style="484" customWidth="1"/>
    <col min="3078" max="3078" width="10.85546875" style="484" customWidth="1"/>
    <col min="3079" max="3079" width="11.85546875" style="484" customWidth="1"/>
    <col min="3080" max="3080" width="22.85546875" style="484" customWidth="1"/>
    <col min="3081" max="3081" width="10.42578125" style="484" customWidth="1"/>
    <col min="3082" max="3082" width="10.5703125" style="484" customWidth="1"/>
    <col min="3083" max="3083" width="10.7109375" style="484" customWidth="1"/>
    <col min="3084" max="3084" width="9.28515625" style="484" customWidth="1"/>
    <col min="3085" max="3085" width="9" style="484" customWidth="1"/>
    <col min="3086" max="3086" width="10.42578125" style="484" customWidth="1"/>
    <col min="3087" max="3087" width="8" style="484" customWidth="1"/>
    <col min="3088" max="3088" width="12.85546875" style="484" customWidth="1"/>
    <col min="3089" max="3089" width="6.7109375" style="484" customWidth="1"/>
    <col min="3090" max="3090" width="12.28515625" style="484" customWidth="1"/>
    <col min="3091" max="3091" width="6.85546875" style="484" customWidth="1"/>
    <col min="3092" max="3092" width="15.28515625" style="484" customWidth="1"/>
    <col min="3093" max="3093" width="9.42578125" style="484" customWidth="1"/>
    <col min="3094" max="3097" width="6.85546875" style="484" customWidth="1"/>
    <col min="3098" max="3098" width="7.5703125" style="484" customWidth="1"/>
    <col min="3099" max="3099" width="9.140625" style="484" customWidth="1"/>
    <col min="3100" max="3100" width="6.28515625" style="484" customWidth="1"/>
    <col min="3101" max="3102" width="30.85546875" style="484" customWidth="1"/>
    <col min="3103" max="3328" width="11.42578125" style="484"/>
    <col min="3329" max="3329" width="37.7109375" style="484" customWidth="1"/>
    <col min="3330" max="3330" width="8" style="484" customWidth="1"/>
    <col min="3331" max="3331" width="13.28515625" style="484" customWidth="1"/>
    <col min="3332" max="3332" width="7.42578125" style="484" customWidth="1"/>
    <col min="3333" max="3333" width="12.85546875" style="484" customWidth="1"/>
    <col min="3334" max="3334" width="10.85546875" style="484" customWidth="1"/>
    <col min="3335" max="3335" width="11.85546875" style="484" customWidth="1"/>
    <col min="3336" max="3336" width="22.85546875" style="484" customWidth="1"/>
    <col min="3337" max="3337" width="10.42578125" style="484" customWidth="1"/>
    <col min="3338" max="3338" width="10.5703125" style="484" customWidth="1"/>
    <col min="3339" max="3339" width="10.7109375" style="484" customWidth="1"/>
    <col min="3340" max="3340" width="9.28515625" style="484" customWidth="1"/>
    <col min="3341" max="3341" width="9" style="484" customWidth="1"/>
    <col min="3342" max="3342" width="10.42578125" style="484" customWidth="1"/>
    <col min="3343" max="3343" width="8" style="484" customWidth="1"/>
    <col min="3344" max="3344" width="12.85546875" style="484" customWidth="1"/>
    <col min="3345" max="3345" width="6.7109375" style="484" customWidth="1"/>
    <col min="3346" max="3346" width="12.28515625" style="484" customWidth="1"/>
    <col min="3347" max="3347" width="6.85546875" style="484" customWidth="1"/>
    <col min="3348" max="3348" width="15.28515625" style="484" customWidth="1"/>
    <col min="3349" max="3349" width="9.42578125" style="484" customWidth="1"/>
    <col min="3350" max="3353" width="6.85546875" style="484" customWidth="1"/>
    <col min="3354" max="3354" width="7.5703125" style="484" customWidth="1"/>
    <col min="3355" max="3355" width="9.140625" style="484" customWidth="1"/>
    <col min="3356" max="3356" width="6.28515625" style="484" customWidth="1"/>
    <col min="3357" max="3358" width="30.85546875" style="484" customWidth="1"/>
    <col min="3359" max="3584" width="11.42578125" style="484"/>
    <col min="3585" max="3585" width="37.7109375" style="484" customWidth="1"/>
    <col min="3586" max="3586" width="8" style="484" customWidth="1"/>
    <col min="3587" max="3587" width="13.28515625" style="484" customWidth="1"/>
    <col min="3588" max="3588" width="7.42578125" style="484" customWidth="1"/>
    <col min="3589" max="3589" width="12.85546875" style="484" customWidth="1"/>
    <col min="3590" max="3590" width="10.85546875" style="484" customWidth="1"/>
    <col min="3591" max="3591" width="11.85546875" style="484" customWidth="1"/>
    <col min="3592" max="3592" width="22.85546875" style="484" customWidth="1"/>
    <col min="3593" max="3593" width="10.42578125" style="484" customWidth="1"/>
    <col min="3594" max="3594" width="10.5703125" style="484" customWidth="1"/>
    <col min="3595" max="3595" width="10.7109375" style="484" customWidth="1"/>
    <col min="3596" max="3596" width="9.28515625" style="484" customWidth="1"/>
    <col min="3597" max="3597" width="9" style="484" customWidth="1"/>
    <col min="3598" max="3598" width="10.42578125" style="484" customWidth="1"/>
    <col min="3599" max="3599" width="8" style="484" customWidth="1"/>
    <col min="3600" max="3600" width="12.85546875" style="484" customWidth="1"/>
    <col min="3601" max="3601" width="6.7109375" style="484" customWidth="1"/>
    <col min="3602" max="3602" width="12.28515625" style="484" customWidth="1"/>
    <col min="3603" max="3603" width="6.85546875" style="484" customWidth="1"/>
    <col min="3604" max="3604" width="15.28515625" style="484" customWidth="1"/>
    <col min="3605" max="3605" width="9.42578125" style="484" customWidth="1"/>
    <col min="3606" max="3609" width="6.85546875" style="484" customWidth="1"/>
    <col min="3610" max="3610" width="7.5703125" style="484" customWidth="1"/>
    <col min="3611" max="3611" width="9.140625" style="484" customWidth="1"/>
    <col min="3612" max="3612" width="6.28515625" style="484" customWidth="1"/>
    <col min="3613" max="3614" width="30.85546875" style="484" customWidth="1"/>
    <col min="3615" max="3840" width="11.42578125" style="484"/>
    <col min="3841" max="3841" width="37.7109375" style="484" customWidth="1"/>
    <col min="3842" max="3842" width="8" style="484" customWidth="1"/>
    <col min="3843" max="3843" width="13.28515625" style="484" customWidth="1"/>
    <col min="3844" max="3844" width="7.42578125" style="484" customWidth="1"/>
    <col min="3845" max="3845" width="12.85546875" style="484" customWidth="1"/>
    <col min="3846" max="3846" width="10.85546875" style="484" customWidth="1"/>
    <col min="3847" max="3847" width="11.85546875" style="484" customWidth="1"/>
    <col min="3848" max="3848" width="22.85546875" style="484" customWidth="1"/>
    <col min="3849" max="3849" width="10.42578125" style="484" customWidth="1"/>
    <col min="3850" max="3850" width="10.5703125" style="484" customWidth="1"/>
    <col min="3851" max="3851" width="10.7109375" style="484" customWidth="1"/>
    <col min="3852" max="3852" width="9.28515625" style="484" customWidth="1"/>
    <col min="3853" max="3853" width="9" style="484" customWidth="1"/>
    <col min="3854" max="3854" width="10.42578125" style="484" customWidth="1"/>
    <col min="3855" max="3855" width="8" style="484" customWidth="1"/>
    <col min="3856" max="3856" width="12.85546875" style="484" customWidth="1"/>
    <col min="3857" max="3857" width="6.7109375" style="484" customWidth="1"/>
    <col min="3858" max="3858" width="12.28515625" style="484" customWidth="1"/>
    <col min="3859" max="3859" width="6.85546875" style="484" customWidth="1"/>
    <col min="3860" max="3860" width="15.28515625" style="484" customWidth="1"/>
    <col min="3861" max="3861" width="9.42578125" style="484" customWidth="1"/>
    <col min="3862" max="3865" width="6.85546875" style="484" customWidth="1"/>
    <col min="3866" max="3866" width="7.5703125" style="484" customWidth="1"/>
    <col min="3867" max="3867" width="9.140625" style="484" customWidth="1"/>
    <col min="3868" max="3868" width="6.28515625" style="484" customWidth="1"/>
    <col min="3869" max="3870" width="30.85546875" style="484" customWidth="1"/>
    <col min="3871" max="4096" width="11.42578125" style="484"/>
    <col min="4097" max="4097" width="37.7109375" style="484" customWidth="1"/>
    <col min="4098" max="4098" width="8" style="484" customWidth="1"/>
    <col min="4099" max="4099" width="13.28515625" style="484" customWidth="1"/>
    <col min="4100" max="4100" width="7.42578125" style="484" customWidth="1"/>
    <col min="4101" max="4101" width="12.85546875" style="484" customWidth="1"/>
    <col min="4102" max="4102" width="10.85546875" style="484" customWidth="1"/>
    <col min="4103" max="4103" width="11.85546875" style="484" customWidth="1"/>
    <col min="4104" max="4104" width="22.85546875" style="484" customWidth="1"/>
    <col min="4105" max="4105" width="10.42578125" style="484" customWidth="1"/>
    <col min="4106" max="4106" width="10.5703125" style="484" customWidth="1"/>
    <col min="4107" max="4107" width="10.7109375" style="484" customWidth="1"/>
    <col min="4108" max="4108" width="9.28515625" style="484" customWidth="1"/>
    <col min="4109" max="4109" width="9" style="484" customWidth="1"/>
    <col min="4110" max="4110" width="10.42578125" style="484" customWidth="1"/>
    <col min="4111" max="4111" width="8" style="484" customWidth="1"/>
    <col min="4112" max="4112" width="12.85546875" style="484" customWidth="1"/>
    <col min="4113" max="4113" width="6.7109375" style="484" customWidth="1"/>
    <col min="4114" max="4114" width="12.28515625" style="484" customWidth="1"/>
    <col min="4115" max="4115" width="6.85546875" style="484" customWidth="1"/>
    <col min="4116" max="4116" width="15.28515625" style="484" customWidth="1"/>
    <col min="4117" max="4117" width="9.42578125" style="484" customWidth="1"/>
    <col min="4118" max="4121" width="6.85546875" style="484" customWidth="1"/>
    <col min="4122" max="4122" width="7.5703125" style="484" customWidth="1"/>
    <col min="4123" max="4123" width="9.140625" style="484" customWidth="1"/>
    <col min="4124" max="4124" width="6.28515625" style="484" customWidth="1"/>
    <col min="4125" max="4126" width="30.85546875" style="484" customWidth="1"/>
    <col min="4127" max="4352" width="11.42578125" style="484"/>
    <col min="4353" max="4353" width="37.7109375" style="484" customWidth="1"/>
    <col min="4354" max="4354" width="8" style="484" customWidth="1"/>
    <col min="4355" max="4355" width="13.28515625" style="484" customWidth="1"/>
    <col min="4356" max="4356" width="7.42578125" style="484" customWidth="1"/>
    <col min="4357" max="4357" width="12.85546875" style="484" customWidth="1"/>
    <col min="4358" max="4358" width="10.85546875" style="484" customWidth="1"/>
    <col min="4359" max="4359" width="11.85546875" style="484" customWidth="1"/>
    <col min="4360" max="4360" width="22.85546875" style="484" customWidth="1"/>
    <col min="4361" max="4361" width="10.42578125" style="484" customWidth="1"/>
    <col min="4362" max="4362" width="10.5703125" style="484" customWidth="1"/>
    <col min="4363" max="4363" width="10.7109375" style="484" customWidth="1"/>
    <col min="4364" max="4364" width="9.28515625" style="484" customWidth="1"/>
    <col min="4365" max="4365" width="9" style="484" customWidth="1"/>
    <col min="4366" max="4366" width="10.42578125" style="484" customWidth="1"/>
    <col min="4367" max="4367" width="8" style="484" customWidth="1"/>
    <col min="4368" max="4368" width="12.85546875" style="484" customWidth="1"/>
    <col min="4369" max="4369" width="6.7109375" style="484" customWidth="1"/>
    <col min="4370" max="4370" width="12.28515625" style="484" customWidth="1"/>
    <col min="4371" max="4371" width="6.85546875" style="484" customWidth="1"/>
    <col min="4372" max="4372" width="15.28515625" style="484" customWidth="1"/>
    <col min="4373" max="4373" width="9.42578125" style="484" customWidth="1"/>
    <col min="4374" max="4377" width="6.85546875" style="484" customWidth="1"/>
    <col min="4378" max="4378" width="7.5703125" style="484" customWidth="1"/>
    <col min="4379" max="4379" width="9.140625" style="484" customWidth="1"/>
    <col min="4380" max="4380" width="6.28515625" style="484" customWidth="1"/>
    <col min="4381" max="4382" width="30.85546875" style="484" customWidth="1"/>
    <col min="4383" max="4608" width="11.42578125" style="484"/>
    <col min="4609" max="4609" width="37.7109375" style="484" customWidth="1"/>
    <col min="4610" max="4610" width="8" style="484" customWidth="1"/>
    <col min="4611" max="4611" width="13.28515625" style="484" customWidth="1"/>
    <col min="4612" max="4612" width="7.42578125" style="484" customWidth="1"/>
    <col min="4613" max="4613" width="12.85546875" style="484" customWidth="1"/>
    <col min="4614" max="4614" width="10.85546875" style="484" customWidth="1"/>
    <col min="4615" max="4615" width="11.85546875" style="484" customWidth="1"/>
    <col min="4616" max="4616" width="22.85546875" style="484" customWidth="1"/>
    <col min="4617" max="4617" width="10.42578125" style="484" customWidth="1"/>
    <col min="4618" max="4618" width="10.5703125" style="484" customWidth="1"/>
    <col min="4619" max="4619" width="10.7109375" style="484" customWidth="1"/>
    <col min="4620" max="4620" width="9.28515625" style="484" customWidth="1"/>
    <col min="4621" max="4621" width="9" style="484" customWidth="1"/>
    <col min="4622" max="4622" width="10.42578125" style="484" customWidth="1"/>
    <col min="4623" max="4623" width="8" style="484" customWidth="1"/>
    <col min="4624" max="4624" width="12.85546875" style="484" customWidth="1"/>
    <col min="4625" max="4625" width="6.7109375" style="484" customWidth="1"/>
    <col min="4626" max="4626" width="12.28515625" style="484" customWidth="1"/>
    <col min="4627" max="4627" width="6.85546875" style="484" customWidth="1"/>
    <col min="4628" max="4628" width="15.28515625" style="484" customWidth="1"/>
    <col min="4629" max="4629" width="9.42578125" style="484" customWidth="1"/>
    <col min="4630" max="4633" width="6.85546875" style="484" customWidth="1"/>
    <col min="4634" max="4634" width="7.5703125" style="484" customWidth="1"/>
    <col min="4635" max="4635" width="9.140625" style="484" customWidth="1"/>
    <col min="4636" max="4636" width="6.28515625" style="484" customWidth="1"/>
    <col min="4637" max="4638" width="30.85546875" style="484" customWidth="1"/>
    <col min="4639" max="4864" width="11.42578125" style="484"/>
    <col min="4865" max="4865" width="37.7109375" style="484" customWidth="1"/>
    <col min="4866" max="4866" width="8" style="484" customWidth="1"/>
    <col min="4867" max="4867" width="13.28515625" style="484" customWidth="1"/>
    <col min="4868" max="4868" width="7.42578125" style="484" customWidth="1"/>
    <col min="4869" max="4869" width="12.85546875" style="484" customWidth="1"/>
    <col min="4870" max="4870" width="10.85546875" style="484" customWidth="1"/>
    <col min="4871" max="4871" width="11.85546875" style="484" customWidth="1"/>
    <col min="4872" max="4872" width="22.85546875" style="484" customWidth="1"/>
    <col min="4873" max="4873" width="10.42578125" style="484" customWidth="1"/>
    <col min="4874" max="4874" width="10.5703125" style="484" customWidth="1"/>
    <col min="4875" max="4875" width="10.7109375" style="484" customWidth="1"/>
    <col min="4876" max="4876" width="9.28515625" style="484" customWidth="1"/>
    <col min="4877" max="4877" width="9" style="484" customWidth="1"/>
    <col min="4878" max="4878" width="10.42578125" style="484" customWidth="1"/>
    <col min="4879" max="4879" width="8" style="484" customWidth="1"/>
    <col min="4880" max="4880" width="12.85546875" style="484" customWidth="1"/>
    <col min="4881" max="4881" width="6.7109375" style="484" customWidth="1"/>
    <col min="4882" max="4882" width="12.28515625" style="484" customWidth="1"/>
    <col min="4883" max="4883" width="6.85546875" style="484" customWidth="1"/>
    <col min="4884" max="4884" width="15.28515625" style="484" customWidth="1"/>
    <col min="4885" max="4885" width="9.42578125" style="484" customWidth="1"/>
    <col min="4886" max="4889" width="6.85546875" style="484" customWidth="1"/>
    <col min="4890" max="4890" width="7.5703125" style="484" customWidth="1"/>
    <col min="4891" max="4891" width="9.140625" style="484" customWidth="1"/>
    <col min="4892" max="4892" width="6.28515625" style="484" customWidth="1"/>
    <col min="4893" max="4894" width="30.85546875" style="484" customWidth="1"/>
    <col min="4895" max="5120" width="11.42578125" style="484"/>
    <col min="5121" max="5121" width="37.7109375" style="484" customWidth="1"/>
    <col min="5122" max="5122" width="8" style="484" customWidth="1"/>
    <col min="5123" max="5123" width="13.28515625" style="484" customWidth="1"/>
    <col min="5124" max="5124" width="7.42578125" style="484" customWidth="1"/>
    <col min="5125" max="5125" width="12.85546875" style="484" customWidth="1"/>
    <col min="5126" max="5126" width="10.85546875" style="484" customWidth="1"/>
    <col min="5127" max="5127" width="11.85546875" style="484" customWidth="1"/>
    <col min="5128" max="5128" width="22.85546875" style="484" customWidth="1"/>
    <col min="5129" max="5129" width="10.42578125" style="484" customWidth="1"/>
    <col min="5130" max="5130" width="10.5703125" style="484" customWidth="1"/>
    <col min="5131" max="5131" width="10.7109375" style="484" customWidth="1"/>
    <col min="5132" max="5132" width="9.28515625" style="484" customWidth="1"/>
    <col min="5133" max="5133" width="9" style="484" customWidth="1"/>
    <col min="5134" max="5134" width="10.42578125" style="484" customWidth="1"/>
    <col min="5135" max="5135" width="8" style="484" customWidth="1"/>
    <col min="5136" max="5136" width="12.85546875" style="484" customWidth="1"/>
    <col min="5137" max="5137" width="6.7109375" style="484" customWidth="1"/>
    <col min="5138" max="5138" width="12.28515625" style="484" customWidth="1"/>
    <col min="5139" max="5139" width="6.85546875" style="484" customWidth="1"/>
    <col min="5140" max="5140" width="15.28515625" style="484" customWidth="1"/>
    <col min="5141" max="5141" width="9.42578125" style="484" customWidth="1"/>
    <col min="5142" max="5145" width="6.85546875" style="484" customWidth="1"/>
    <col min="5146" max="5146" width="7.5703125" style="484" customWidth="1"/>
    <col min="5147" max="5147" width="9.140625" style="484" customWidth="1"/>
    <col min="5148" max="5148" width="6.28515625" style="484" customWidth="1"/>
    <col min="5149" max="5150" width="30.85546875" style="484" customWidth="1"/>
    <col min="5151" max="5376" width="11.42578125" style="484"/>
    <col min="5377" max="5377" width="37.7109375" style="484" customWidth="1"/>
    <col min="5378" max="5378" width="8" style="484" customWidth="1"/>
    <col min="5379" max="5379" width="13.28515625" style="484" customWidth="1"/>
    <col min="5380" max="5380" width="7.42578125" style="484" customWidth="1"/>
    <col min="5381" max="5381" width="12.85546875" style="484" customWidth="1"/>
    <col min="5382" max="5382" width="10.85546875" style="484" customWidth="1"/>
    <col min="5383" max="5383" width="11.85546875" style="484" customWidth="1"/>
    <col min="5384" max="5384" width="22.85546875" style="484" customWidth="1"/>
    <col min="5385" max="5385" width="10.42578125" style="484" customWidth="1"/>
    <col min="5386" max="5386" width="10.5703125" style="484" customWidth="1"/>
    <col min="5387" max="5387" width="10.7109375" style="484" customWidth="1"/>
    <col min="5388" max="5388" width="9.28515625" style="484" customWidth="1"/>
    <col min="5389" max="5389" width="9" style="484" customWidth="1"/>
    <col min="5390" max="5390" width="10.42578125" style="484" customWidth="1"/>
    <col min="5391" max="5391" width="8" style="484" customWidth="1"/>
    <col min="5392" max="5392" width="12.85546875" style="484" customWidth="1"/>
    <col min="5393" max="5393" width="6.7109375" style="484" customWidth="1"/>
    <col min="5394" max="5394" width="12.28515625" style="484" customWidth="1"/>
    <col min="5395" max="5395" width="6.85546875" style="484" customWidth="1"/>
    <col min="5396" max="5396" width="15.28515625" style="484" customWidth="1"/>
    <col min="5397" max="5397" width="9.42578125" style="484" customWidth="1"/>
    <col min="5398" max="5401" width="6.85546875" style="484" customWidth="1"/>
    <col min="5402" max="5402" width="7.5703125" style="484" customWidth="1"/>
    <col min="5403" max="5403" width="9.140625" style="484" customWidth="1"/>
    <col min="5404" max="5404" width="6.28515625" style="484" customWidth="1"/>
    <col min="5405" max="5406" width="30.85546875" style="484" customWidth="1"/>
    <col min="5407" max="5632" width="11.42578125" style="484"/>
    <col min="5633" max="5633" width="37.7109375" style="484" customWidth="1"/>
    <col min="5634" max="5634" width="8" style="484" customWidth="1"/>
    <col min="5635" max="5635" width="13.28515625" style="484" customWidth="1"/>
    <col min="5636" max="5636" width="7.42578125" style="484" customWidth="1"/>
    <col min="5637" max="5637" width="12.85546875" style="484" customWidth="1"/>
    <col min="5638" max="5638" width="10.85546875" style="484" customWidth="1"/>
    <col min="5639" max="5639" width="11.85546875" style="484" customWidth="1"/>
    <col min="5640" max="5640" width="22.85546875" style="484" customWidth="1"/>
    <col min="5641" max="5641" width="10.42578125" style="484" customWidth="1"/>
    <col min="5642" max="5642" width="10.5703125" style="484" customWidth="1"/>
    <col min="5643" max="5643" width="10.7109375" style="484" customWidth="1"/>
    <col min="5644" max="5644" width="9.28515625" style="484" customWidth="1"/>
    <col min="5645" max="5645" width="9" style="484" customWidth="1"/>
    <col min="5646" max="5646" width="10.42578125" style="484" customWidth="1"/>
    <col min="5647" max="5647" width="8" style="484" customWidth="1"/>
    <col min="5648" max="5648" width="12.85546875" style="484" customWidth="1"/>
    <col min="5649" max="5649" width="6.7109375" style="484" customWidth="1"/>
    <col min="5650" max="5650" width="12.28515625" style="484" customWidth="1"/>
    <col min="5651" max="5651" width="6.85546875" style="484" customWidth="1"/>
    <col min="5652" max="5652" width="15.28515625" style="484" customWidth="1"/>
    <col min="5653" max="5653" width="9.42578125" style="484" customWidth="1"/>
    <col min="5654" max="5657" width="6.85546875" style="484" customWidth="1"/>
    <col min="5658" max="5658" width="7.5703125" style="484" customWidth="1"/>
    <col min="5659" max="5659" width="9.140625" style="484" customWidth="1"/>
    <col min="5660" max="5660" width="6.28515625" style="484" customWidth="1"/>
    <col min="5661" max="5662" width="30.85546875" style="484" customWidth="1"/>
    <col min="5663" max="5888" width="11.42578125" style="484"/>
    <col min="5889" max="5889" width="37.7109375" style="484" customWidth="1"/>
    <col min="5890" max="5890" width="8" style="484" customWidth="1"/>
    <col min="5891" max="5891" width="13.28515625" style="484" customWidth="1"/>
    <col min="5892" max="5892" width="7.42578125" style="484" customWidth="1"/>
    <col min="5893" max="5893" width="12.85546875" style="484" customWidth="1"/>
    <col min="5894" max="5894" width="10.85546875" style="484" customWidth="1"/>
    <col min="5895" max="5895" width="11.85546875" style="484" customWidth="1"/>
    <col min="5896" max="5896" width="22.85546875" style="484" customWidth="1"/>
    <col min="5897" max="5897" width="10.42578125" style="484" customWidth="1"/>
    <col min="5898" max="5898" width="10.5703125" style="484" customWidth="1"/>
    <col min="5899" max="5899" width="10.7109375" style="484" customWidth="1"/>
    <col min="5900" max="5900" width="9.28515625" style="484" customWidth="1"/>
    <col min="5901" max="5901" width="9" style="484" customWidth="1"/>
    <col min="5902" max="5902" width="10.42578125" style="484" customWidth="1"/>
    <col min="5903" max="5903" width="8" style="484" customWidth="1"/>
    <col min="5904" max="5904" width="12.85546875" style="484" customWidth="1"/>
    <col min="5905" max="5905" width="6.7109375" style="484" customWidth="1"/>
    <col min="5906" max="5906" width="12.28515625" style="484" customWidth="1"/>
    <col min="5907" max="5907" width="6.85546875" style="484" customWidth="1"/>
    <col min="5908" max="5908" width="15.28515625" style="484" customWidth="1"/>
    <col min="5909" max="5909" width="9.42578125" style="484" customWidth="1"/>
    <col min="5910" max="5913" width="6.85546875" style="484" customWidth="1"/>
    <col min="5914" max="5914" width="7.5703125" style="484" customWidth="1"/>
    <col min="5915" max="5915" width="9.140625" style="484" customWidth="1"/>
    <col min="5916" max="5916" width="6.28515625" style="484" customWidth="1"/>
    <col min="5917" max="5918" width="30.85546875" style="484" customWidth="1"/>
    <col min="5919" max="6144" width="11.42578125" style="484"/>
    <col min="6145" max="6145" width="37.7109375" style="484" customWidth="1"/>
    <col min="6146" max="6146" width="8" style="484" customWidth="1"/>
    <col min="6147" max="6147" width="13.28515625" style="484" customWidth="1"/>
    <col min="6148" max="6148" width="7.42578125" style="484" customWidth="1"/>
    <col min="6149" max="6149" width="12.85546875" style="484" customWidth="1"/>
    <col min="6150" max="6150" width="10.85546875" style="484" customWidth="1"/>
    <col min="6151" max="6151" width="11.85546875" style="484" customWidth="1"/>
    <col min="6152" max="6152" width="22.85546875" style="484" customWidth="1"/>
    <col min="6153" max="6153" width="10.42578125" style="484" customWidth="1"/>
    <col min="6154" max="6154" width="10.5703125" style="484" customWidth="1"/>
    <col min="6155" max="6155" width="10.7109375" style="484" customWidth="1"/>
    <col min="6156" max="6156" width="9.28515625" style="484" customWidth="1"/>
    <col min="6157" max="6157" width="9" style="484" customWidth="1"/>
    <col min="6158" max="6158" width="10.42578125" style="484" customWidth="1"/>
    <col min="6159" max="6159" width="8" style="484" customWidth="1"/>
    <col min="6160" max="6160" width="12.85546875" style="484" customWidth="1"/>
    <col min="6161" max="6161" width="6.7109375" style="484" customWidth="1"/>
    <col min="6162" max="6162" width="12.28515625" style="484" customWidth="1"/>
    <col min="6163" max="6163" width="6.85546875" style="484" customWidth="1"/>
    <col min="6164" max="6164" width="15.28515625" style="484" customWidth="1"/>
    <col min="6165" max="6165" width="9.42578125" style="484" customWidth="1"/>
    <col min="6166" max="6169" width="6.85546875" style="484" customWidth="1"/>
    <col min="6170" max="6170" width="7.5703125" style="484" customWidth="1"/>
    <col min="6171" max="6171" width="9.140625" style="484" customWidth="1"/>
    <col min="6172" max="6172" width="6.28515625" style="484" customWidth="1"/>
    <col min="6173" max="6174" width="30.85546875" style="484" customWidth="1"/>
    <col min="6175" max="6400" width="11.42578125" style="484"/>
    <col min="6401" max="6401" width="37.7109375" style="484" customWidth="1"/>
    <col min="6402" max="6402" width="8" style="484" customWidth="1"/>
    <col min="6403" max="6403" width="13.28515625" style="484" customWidth="1"/>
    <col min="6404" max="6404" width="7.42578125" style="484" customWidth="1"/>
    <col min="6405" max="6405" width="12.85546875" style="484" customWidth="1"/>
    <col min="6406" max="6406" width="10.85546875" style="484" customWidth="1"/>
    <col min="6407" max="6407" width="11.85546875" style="484" customWidth="1"/>
    <col min="6408" max="6408" width="22.85546875" style="484" customWidth="1"/>
    <col min="6409" max="6409" width="10.42578125" style="484" customWidth="1"/>
    <col min="6410" max="6410" width="10.5703125" style="484" customWidth="1"/>
    <col min="6411" max="6411" width="10.7109375" style="484" customWidth="1"/>
    <col min="6412" max="6412" width="9.28515625" style="484" customWidth="1"/>
    <col min="6413" max="6413" width="9" style="484" customWidth="1"/>
    <col min="6414" max="6414" width="10.42578125" style="484" customWidth="1"/>
    <col min="6415" max="6415" width="8" style="484" customWidth="1"/>
    <col min="6416" max="6416" width="12.85546875" style="484" customWidth="1"/>
    <col min="6417" max="6417" width="6.7109375" style="484" customWidth="1"/>
    <col min="6418" max="6418" width="12.28515625" style="484" customWidth="1"/>
    <col min="6419" max="6419" width="6.85546875" style="484" customWidth="1"/>
    <col min="6420" max="6420" width="15.28515625" style="484" customWidth="1"/>
    <col min="6421" max="6421" width="9.42578125" style="484" customWidth="1"/>
    <col min="6422" max="6425" width="6.85546875" style="484" customWidth="1"/>
    <col min="6426" max="6426" width="7.5703125" style="484" customWidth="1"/>
    <col min="6427" max="6427" width="9.140625" style="484" customWidth="1"/>
    <col min="6428" max="6428" width="6.28515625" style="484" customWidth="1"/>
    <col min="6429" max="6430" width="30.85546875" style="484" customWidth="1"/>
    <col min="6431" max="6656" width="11.42578125" style="484"/>
    <col min="6657" max="6657" width="37.7109375" style="484" customWidth="1"/>
    <col min="6658" max="6658" width="8" style="484" customWidth="1"/>
    <col min="6659" max="6659" width="13.28515625" style="484" customWidth="1"/>
    <col min="6660" max="6660" width="7.42578125" style="484" customWidth="1"/>
    <col min="6661" max="6661" width="12.85546875" style="484" customWidth="1"/>
    <col min="6662" max="6662" width="10.85546875" style="484" customWidth="1"/>
    <col min="6663" max="6663" width="11.85546875" style="484" customWidth="1"/>
    <col min="6664" max="6664" width="22.85546875" style="484" customWidth="1"/>
    <col min="6665" max="6665" width="10.42578125" style="484" customWidth="1"/>
    <col min="6666" max="6666" width="10.5703125" style="484" customWidth="1"/>
    <col min="6667" max="6667" width="10.7109375" style="484" customWidth="1"/>
    <col min="6668" max="6668" width="9.28515625" style="484" customWidth="1"/>
    <col min="6669" max="6669" width="9" style="484" customWidth="1"/>
    <col min="6670" max="6670" width="10.42578125" style="484" customWidth="1"/>
    <col min="6671" max="6671" width="8" style="484" customWidth="1"/>
    <col min="6672" max="6672" width="12.85546875" style="484" customWidth="1"/>
    <col min="6673" max="6673" width="6.7109375" style="484" customWidth="1"/>
    <col min="6674" max="6674" width="12.28515625" style="484" customWidth="1"/>
    <col min="6675" max="6675" width="6.85546875" style="484" customWidth="1"/>
    <col min="6676" max="6676" width="15.28515625" style="484" customWidth="1"/>
    <col min="6677" max="6677" width="9.42578125" style="484" customWidth="1"/>
    <col min="6678" max="6681" width="6.85546875" style="484" customWidth="1"/>
    <col min="6682" max="6682" width="7.5703125" style="484" customWidth="1"/>
    <col min="6683" max="6683" width="9.140625" style="484" customWidth="1"/>
    <col min="6684" max="6684" width="6.28515625" style="484" customWidth="1"/>
    <col min="6685" max="6686" width="30.85546875" style="484" customWidth="1"/>
    <col min="6687" max="6912" width="11.42578125" style="484"/>
    <col min="6913" max="6913" width="37.7109375" style="484" customWidth="1"/>
    <col min="6914" max="6914" width="8" style="484" customWidth="1"/>
    <col min="6915" max="6915" width="13.28515625" style="484" customWidth="1"/>
    <col min="6916" max="6916" width="7.42578125" style="484" customWidth="1"/>
    <col min="6917" max="6917" width="12.85546875" style="484" customWidth="1"/>
    <col min="6918" max="6918" width="10.85546875" style="484" customWidth="1"/>
    <col min="6919" max="6919" width="11.85546875" style="484" customWidth="1"/>
    <col min="6920" max="6920" width="22.85546875" style="484" customWidth="1"/>
    <col min="6921" max="6921" width="10.42578125" style="484" customWidth="1"/>
    <col min="6922" max="6922" width="10.5703125" style="484" customWidth="1"/>
    <col min="6923" max="6923" width="10.7109375" style="484" customWidth="1"/>
    <col min="6924" max="6924" width="9.28515625" style="484" customWidth="1"/>
    <col min="6925" max="6925" width="9" style="484" customWidth="1"/>
    <col min="6926" max="6926" width="10.42578125" style="484" customWidth="1"/>
    <col min="6927" max="6927" width="8" style="484" customWidth="1"/>
    <col min="6928" max="6928" width="12.85546875" style="484" customWidth="1"/>
    <col min="6929" max="6929" width="6.7109375" style="484" customWidth="1"/>
    <col min="6930" max="6930" width="12.28515625" style="484" customWidth="1"/>
    <col min="6931" max="6931" width="6.85546875" style="484" customWidth="1"/>
    <col min="6932" max="6932" width="15.28515625" style="484" customWidth="1"/>
    <col min="6933" max="6933" width="9.42578125" style="484" customWidth="1"/>
    <col min="6934" max="6937" width="6.85546875" style="484" customWidth="1"/>
    <col min="6938" max="6938" width="7.5703125" style="484" customWidth="1"/>
    <col min="6939" max="6939" width="9.140625" style="484" customWidth="1"/>
    <col min="6940" max="6940" width="6.28515625" style="484" customWidth="1"/>
    <col min="6941" max="6942" width="30.85546875" style="484" customWidth="1"/>
    <col min="6943" max="7168" width="11.42578125" style="484"/>
    <col min="7169" max="7169" width="37.7109375" style="484" customWidth="1"/>
    <col min="7170" max="7170" width="8" style="484" customWidth="1"/>
    <col min="7171" max="7171" width="13.28515625" style="484" customWidth="1"/>
    <col min="7172" max="7172" width="7.42578125" style="484" customWidth="1"/>
    <col min="7173" max="7173" width="12.85546875" style="484" customWidth="1"/>
    <col min="7174" max="7174" width="10.85546875" style="484" customWidth="1"/>
    <col min="7175" max="7175" width="11.85546875" style="484" customWidth="1"/>
    <col min="7176" max="7176" width="22.85546875" style="484" customWidth="1"/>
    <col min="7177" max="7177" width="10.42578125" style="484" customWidth="1"/>
    <col min="7178" max="7178" width="10.5703125" style="484" customWidth="1"/>
    <col min="7179" max="7179" width="10.7109375" style="484" customWidth="1"/>
    <col min="7180" max="7180" width="9.28515625" style="484" customWidth="1"/>
    <col min="7181" max="7181" width="9" style="484" customWidth="1"/>
    <col min="7182" max="7182" width="10.42578125" style="484" customWidth="1"/>
    <col min="7183" max="7183" width="8" style="484" customWidth="1"/>
    <col min="7184" max="7184" width="12.85546875" style="484" customWidth="1"/>
    <col min="7185" max="7185" width="6.7109375" style="484" customWidth="1"/>
    <col min="7186" max="7186" width="12.28515625" style="484" customWidth="1"/>
    <col min="7187" max="7187" width="6.85546875" style="484" customWidth="1"/>
    <col min="7188" max="7188" width="15.28515625" style="484" customWidth="1"/>
    <col min="7189" max="7189" width="9.42578125" style="484" customWidth="1"/>
    <col min="7190" max="7193" width="6.85546875" style="484" customWidth="1"/>
    <col min="7194" max="7194" width="7.5703125" style="484" customWidth="1"/>
    <col min="7195" max="7195" width="9.140625" style="484" customWidth="1"/>
    <col min="7196" max="7196" width="6.28515625" style="484" customWidth="1"/>
    <col min="7197" max="7198" width="30.85546875" style="484" customWidth="1"/>
    <col min="7199" max="7424" width="11.42578125" style="484"/>
    <col min="7425" max="7425" width="37.7109375" style="484" customWidth="1"/>
    <col min="7426" max="7426" width="8" style="484" customWidth="1"/>
    <col min="7427" max="7427" width="13.28515625" style="484" customWidth="1"/>
    <col min="7428" max="7428" width="7.42578125" style="484" customWidth="1"/>
    <col min="7429" max="7429" width="12.85546875" style="484" customWidth="1"/>
    <col min="7430" max="7430" width="10.85546875" style="484" customWidth="1"/>
    <col min="7431" max="7431" width="11.85546875" style="484" customWidth="1"/>
    <col min="7432" max="7432" width="22.85546875" style="484" customWidth="1"/>
    <col min="7433" max="7433" width="10.42578125" style="484" customWidth="1"/>
    <col min="7434" max="7434" width="10.5703125" style="484" customWidth="1"/>
    <col min="7435" max="7435" width="10.7109375" style="484" customWidth="1"/>
    <col min="7436" max="7436" width="9.28515625" style="484" customWidth="1"/>
    <col min="7437" max="7437" width="9" style="484" customWidth="1"/>
    <col min="7438" max="7438" width="10.42578125" style="484" customWidth="1"/>
    <col min="7439" max="7439" width="8" style="484" customWidth="1"/>
    <col min="7440" max="7440" width="12.85546875" style="484" customWidth="1"/>
    <col min="7441" max="7441" width="6.7109375" style="484" customWidth="1"/>
    <col min="7442" max="7442" width="12.28515625" style="484" customWidth="1"/>
    <col min="7443" max="7443" width="6.85546875" style="484" customWidth="1"/>
    <col min="7444" max="7444" width="15.28515625" style="484" customWidth="1"/>
    <col min="7445" max="7445" width="9.42578125" style="484" customWidth="1"/>
    <col min="7446" max="7449" width="6.85546875" style="484" customWidth="1"/>
    <col min="7450" max="7450" width="7.5703125" style="484" customWidth="1"/>
    <col min="7451" max="7451" width="9.140625" style="484" customWidth="1"/>
    <col min="7452" max="7452" width="6.28515625" style="484" customWidth="1"/>
    <col min="7453" max="7454" width="30.85546875" style="484" customWidth="1"/>
    <col min="7455" max="7680" width="11.42578125" style="484"/>
    <col min="7681" max="7681" width="37.7109375" style="484" customWidth="1"/>
    <col min="7682" max="7682" width="8" style="484" customWidth="1"/>
    <col min="7683" max="7683" width="13.28515625" style="484" customWidth="1"/>
    <col min="7684" max="7684" width="7.42578125" style="484" customWidth="1"/>
    <col min="7685" max="7685" width="12.85546875" style="484" customWidth="1"/>
    <col min="7686" max="7686" width="10.85546875" style="484" customWidth="1"/>
    <col min="7687" max="7687" width="11.85546875" style="484" customWidth="1"/>
    <col min="7688" max="7688" width="22.85546875" style="484" customWidth="1"/>
    <col min="7689" max="7689" width="10.42578125" style="484" customWidth="1"/>
    <col min="7690" max="7690" width="10.5703125" style="484" customWidth="1"/>
    <col min="7691" max="7691" width="10.7109375" style="484" customWidth="1"/>
    <col min="7692" max="7692" width="9.28515625" style="484" customWidth="1"/>
    <col min="7693" max="7693" width="9" style="484" customWidth="1"/>
    <col min="7694" max="7694" width="10.42578125" style="484" customWidth="1"/>
    <col min="7695" max="7695" width="8" style="484" customWidth="1"/>
    <col min="7696" max="7696" width="12.85546875" style="484" customWidth="1"/>
    <col min="7697" max="7697" width="6.7109375" style="484" customWidth="1"/>
    <col min="7698" max="7698" width="12.28515625" style="484" customWidth="1"/>
    <col min="7699" max="7699" width="6.85546875" style="484" customWidth="1"/>
    <col min="7700" max="7700" width="15.28515625" style="484" customWidth="1"/>
    <col min="7701" max="7701" width="9.42578125" style="484" customWidth="1"/>
    <col min="7702" max="7705" width="6.85546875" style="484" customWidth="1"/>
    <col min="7706" max="7706" width="7.5703125" style="484" customWidth="1"/>
    <col min="7707" max="7707" width="9.140625" style="484" customWidth="1"/>
    <col min="7708" max="7708" width="6.28515625" style="484" customWidth="1"/>
    <col min="7709" max="7710" width="30.85546875" style="484" customWidth="1"/>
    <col min="7711" max="7936" width="11.42578125" style="484"/>
    <col min="7937" max="7937" width="37.7109375" style="484" customWidth="1"/>
    <col min="7938" max="7938" width="8" style="484" customWidth="1"/>
    <col min="7939" max="7939" width="13.28515625" style="484" customWidth="1"/>
    <col min="7940" max="7940" width="7.42578125" style="484" customWidth="1"/>
    <col min="7941" max="7941" width="12.85546875" style="484" customWidth="1"/>
    <col min="7942" max="7942" width="10.85546875" style="484" customWidth="1"/>
    <col min="7943" max="7943" width="11.85546875" style="484" customWidth="1"/>
    <col min="7944" max="7944" width="22.85546875" style="484" customWidth="1"/>
    <col min="7945" max="7945" width="10.42578125" style="484" customWidth="1"/>
    <col min="7946" max="7946" width="10.5703125" style="484" customWidth="1"/>
    <col min="7947" max="7947" width="10.7109375" style="484" customWidth="1"/>
    <col min="7948" max="7948" width="9.28515625" style="484" customWidth="1"/>
    <col min="7949" max="7949" width="9" style="484" customWidth="1"/>
    <col min="7950" max="7950" width="10.42578125" style="484" customWidth="1"/>
    <col min="7951" max="7951" width="8" style="484" customWidth="1"/>
    <col min="7952" max="7952" width="12.85546875" style="484" customWidth="1"/>
    <col min="7953" max="7953" width="6.7109375" style="484" customWidth="1"/>
    <col min="7954" max="7954" width="12.28515625" style="484" customWidth="1"/>
    <col min="7955" max="7955" width="6.85546875" style="484" customWidth="1"/>
    <col min="7956" max="7956" width="15.28515625" style="484" customWidth="1"/>
    <col min="7957" max="7957" width="9.42578125" style="484" customWidth="1"/>
    <col min="7958" max="7961" width="6.85546875" style="484" customWidth="1"/>
    <col min="7962" max="7962" width="7.5703125" style="484" customWidth="1"/>
    <col min="7963" max="7963" width="9.140625" style="484" customWidth="1"/>
    <col min="7964" max="7964" width="6.28515625" style="484" customWidth="1"/>
    <col min="7965" max="7966" width="30.85546875" style="484" customWidth="1"/>
    <col min="7967" max="8192" width="11.42578125" style="484"/>
    <col min="8193" max="8193" width="37.7109375" style="484" customWidth="1"/>
    <col min="8194" max="8194" width="8" style="484" customWidth="1"/>
    <col min="8195" max="8195" width="13.28515625" style="484" customWidth="1"/>
    <col min="8196" max="8196" width="7.42578125" style="484" customWidth="1"/>
    <col min="8197" max="8197" width="12.85546875" style="484" customWidth="1"/>
    <col min="8198" max="8198" width="10.85546875" style="484" customWidth="1"/>
    <col min="8199" max="8199" width="11.85546875" style="484" customWidth="1"/>
    <col min="8200" max="8200" width="22.85546875" style="484" customWidth="1"/>
    <col min="8201" max="8201" width="10.42578125" style="484" customWidth="1"/>
    <col min="8202" max="8202" width="10.5703125" style="484" customWidth="1"/>
    <col min="8203" max="8203" width="10.7109375" style="484" customWidth="1"/>
    <col min="8204" max="8204" width="9.28515625" style="484" customWidth="1"/>
    <col min="8205" max="8205" width="9" style="484" customWidth="1"/>
    <col min="8206" max="8206" width="10.42578125" style="484" customWidth="1"/>
    <col min="8207" max="8207" width="8" style="484" customWidth="1"/>
    <col min="8208" max="8208" width="12.85546875" style="484" customWidth="1"/>
    <col min="8209" max="8209" width="6.7109375" style="484" customWidth="1"/>
    <col min="8210" max="8210" width="12.28515625" style="484" customWidth="1"/>
    <col min="8211" max="8211" width="6.85546875" style="484" customWidth="1"/>
    <col min="8212" max="8212" width="15.28515625" style="484" customWidth="1"/>
    <col min="8213" max="8213" width="9.42578125" style="484" customWidth="1"/>
    <col min="8214" max="8217" width="6.85546875" style="484" customWidth="1"/>
    <col min="8218" max="8218" width="7.5703125" style="484" customWidth="1"/>
    <col min="8219" max="8219" width="9.140625" style="484" customWidth="1"/>
    <col min="8220" max="8220" width="6.28515625" style="484" customWidth="1"/>
    <col min="8221" max="8222" width="30.85546875" style="484" customWidth="1"/>
    <col min="8223" max="8448" width="11.42578125" style="484"/>
    <col min="8449" max="8449" width="37.7109375" style="484" customWidth="1"/>
    <col min="8450" max="8450" width="8" style="484" customWidth="1"/>
    <col min="8451" max="8451" width="13.28515625" style="484" customWidth="1"/>
    <col min="8452" max="8452" width="7.42578125" style="484" customWidth="1"/>
    <col min="8453" max="8453" width="12.85546875" style="484" customWidth="1"/>
    <col min="8454" max="8454" width="10.85546875" style="484" customWidth="1"/>
    <col min="8455" max="8455" width="11.85546875" style="484" customWidth="1"/>
    <col min="8456" max="8456" width="22.85546875" style="484" customWidth="1"/>
    <col min="8457" max="8457" width="10.42578125" style="484" customWidth="1"/>
    <col min="8458" max="8458" width="10.5703125" style="484" customWidth="1"/>
    <col min="8459" max="8459" width="10.7109375" style="484" customWidth="1"/>
    <col min="8460" max="8460" width="9.28515625" style="484" customWidth="1"/>
    <col min="8461" max="8461" width="9" style="484" customWidth="1"/>
    <col min="8462" max="8462" width="10.42578125" style="484" customWidth="1"/>
    <col min="8463" max="8463" width="8" style="484" customWidth="1"/>
    <col min="8464" max="8464" width="12.85546875" style="484" customWidth="1"/>
    <col min="8465" max="8465" width="6.7109375" style="484" customWidth="1"/>
    <col min="8466" max="8466" width="12.28515625" style="484" customWidth="1"/>
    <col min="8467" max="8467" width="6.85546875" style="484" customWidth="1"/>
    <col min="8468" max="8468" width="15.28515625" style="484" customWidth="1"/>
    <col min="8469" max="8469" width="9.42578125" style="484" customWidth="1"/>
    <col min="8470" max="8473" width="6.85546875" style="484" customWidth="1"/>
    <col min="8474" max="8474" width="7.5703125" style="484" customWidth="1"/>
    <col min="8475" max="8475" width="9.140625" style="484" customWidth="1"/>
    <col min="8476" max="8476" width="6.28515625" style="484" customWidth="1"/>
    <col min="8477" max="8478" width="30.85546875" style="484" customWidth="1"/>
    <col min="8479" max="8704" width="11.42578125" style="484"/>
    <col min="8705" max="8705" width="37.7109375" style="484" customWidth="1"/>
    <col min="8706" max="8706" width="8" style="484" customWidth="1"/>
    <col min="8707" max="8707" width="13.28515625" style="484" customWidth="1"/>
    <col min="8708" max="8708" width="7.42578125" style="484" customWidth="1"/>
    <col min="8709" max="8709" width="12.85546875" style="484" customWidth="1"/>
    <col min="8710" max="8710" width="10.85546875" style="484" customWidth="1"/>
    <col min="8711" max="8711" width="11.85546875" style="484" customWidth="1"/>
    <col min="8712" max="8712" width="22.85546875" style="484" customWidth="1"/>
    <col min="8713" max="8713" width="10.42578125" style="484" customWidth="1"/>
    <col min="8714" max="8714" width="10.5703125" style="484" customWidth="1"/>
    <col min="8715" max="8715" width="10.7109375" style="484" customWidth="1"/>
    <col min="8716" max="8716" width="9.28515625" style="484" customWidth="1"/>
    <col min="8717" max="8717" width="9" style="484" customWidth="1"/>
    <col min="8718" max="8718" width="10.42578125" style="484" customWidth="1"/>
    <col min="8719" max="8719" width="8" style="484" customWidth="1"/>
    <col min="8720" max="8720" width="12.85546875" style="484" customWidth="1"/>
    <col min="8721" max="8721" width="6.7109375" style="484" customWidth="1"/>
    <col min="8722" max="8722" width="12.28515625" style="484" customWidth="1"/>
    <col min="8723" max="8723" width="6.85546875" style="484" customWidth="1"/>
    <col min="8724" max="8724" width="15.28515625" style="484" customWidth="1"/>
    <col min="8725" max="8725" width="9.42578125" style="484" customWidth="1"/>
    <col min="8726" max="8729" width="6.85546875" style="484" customWidth="1"/>
    <col min="8730" max="8730" width="7.5703125" style="484" customWidth="1"/>
    <col min="8731" max="8731" width="9.140625" style="484" customWidth="1"/>
    <col min="8732" max="8732" width="6.28515625" style="484" customWidth="1"/>
    <col min="8733" max="8734" width="30.85546875" style="484" customWidth="1"/>
    <col min="8735" max="8960" width="11.42578125" style="484"/>
    <col min="8961" max="8961" width="37.7109375" style="484" customWidth="1"/>
    <col min="8962" max="8962" width="8" style="484" customWidth="1"/>
    <col min="8963" max="8963" width="13.28515625" style="484" customWidth="1"/>
    <col min="8964" max="8964" width="7.42578125" style="484" customWidth="1"/>
    <col min="8965" max="8965" width="12.85546875" style="484" customWidth="1"/>
    <col min="8966" max="8966" width="10.85546875" style="484" customWidth="1"/>
    <col min="8967" max="8967" width="11.85546875" style="484" customWidth="1"/>
    <col min="8968" max="8968" width="22.85546875" style="484" customWidth="1"/>
    <col min="8969" max="8969" width="10.42578125" style="484" customWidth="1"/>
    <col min="8970" max="8970" width="10.5703125" style="484" customWidth="1"/>
    <col min="8971" max="8971" width="10.7109375" style="484" customWidth="1"/>
    <col min="8972" max="8972" width="9.28515625" style="484" customWidth="1"/>
    <col min="8973" max="8973" width="9" style="484" customWidth="1"/>
    <col min="8974" max="8974" width="10.42578125" style="484" customWidth="1"/>
    <col min="8975" max="8975" width="8" style="484" customWidth="1"/>
    <col min="8976" max="8976" width="12.85546875" style="484" customWidth="1"/>
    <col min="8977" max="8977" width="6.7109375" style="484" customWidth="1"/>
    <col min="8978" max="8978" width="12.28515625" style="484" customWidth="1"/>
    <col min="8979" max="8979" width="6.85546875" style="484" customWidth="1"/>
    <col min="8980" max="8980" width="15.28515625" style="484" customWidth="1"/>
    <col min="8981" max="8981" width="9.42578125" style="484" customWidth="1"/>
    <col min="8982" max="8985" width="6.85546875" style="484" customWidth="1"/>
    <col min="8986" max="8986" width="7.5703125" style="484" customWidth="1"/>
    <col min="8987" max="8987" width="9.140625" style="484" customWidth="1"/>
    <col min="8988" max="8988" width="6.28515625" style="484" customWidth="1"/>
    <col min="8989" max="8990" width="30.85546875" style="484" customWidth="1"/>
    <col min="8991" max="9216" width="11.42578125" style="484"/>
    <col min="9217" max="9217" width="37.7109375" style="484" customWidth="1"/>
    <col min="9218" max="9218" width="8" style="484" customWidth="1"/>
    <col min="9219" max="9219" width="13.28515625" style="484" customWidth="1"/>
    <col min="9220" max="9220" width="7.42578125" style="484" customWidth="1"/>
    <col min="9221" max="9221" width="12.85546875" style="484" customWidth="1"/>
    <col min="9222" max="9222" width="10.85546875" style="484" customWidth="1"/>
    <col min="9223" max="9223" width="11.85546875" style="484" customWidth="1"/>
    <col min="9224" max="9224" width="22.85546875" style="484" customWidth="1"/>
    <col min="9225" max="9225" width="10.42578125" style="484" customWidth="1"/>
    <col min="9226" max="9226" width="10.5703125" style="484" customWidth="1"/>
    <col min="9227" max="9227" width="10.7109375" style="484" customWidth="1"/>
    <col min="9228" max="9228" width="9.28515625" style="484" customWidth="1"/>
    <col min="9229" max="9229" width="9" style="484" customWidth="1"/>
    <col min="9230" max="9230" width="10.42578125" style="484" customWidth="1"/>
    <col min="9231" max="9231" width="8" style="484" customWidth="1"/>
    <col min="9232" max="9232" width="12.85546875" style="484" customWidth="1"/>
    <col min="9233" max="9233" width="6.7109375" style="484" customWidth="1"/>
    <col min="9234" max="9234" width="12.28515625" style="484" customWidth="1"/>
    <col min="9235" max="9235" width="6.85546875" style="484" customWidth="1"/>
    <col min="9236" max="9236" width="15.28515625" style="484" customWidth="1"/>
    <col min="9237" max="9237" width="9.42578125" style="484" customWidth="1"/>
    <col min="9238" max="9241" width="6.85546875" style="484" customWidth="1"/>
    <col min="9242" max="9242" width="7.5703125" style="484" customWidth="1"/>
    <col min="9243" max="9243" width="9.140625" style="484" customWidth="1"/>
    <col min="9244" max="9244" width="6.28515625" style="484" customWidth="1"/>
    <col min="9245" max="9246" width="30.85546875" style="484" customWidth="1"/>
    <col min="9247" max="9472" width="11.42578125" style="484"/>
    <col min="9473" max="9473" width="37.7109375" style="484" customWidth="1"/>
    <col min="9474" max="9474" width="8" style="484" customWidth="1"/>
    <col min="9475" max="9475" width="13.28515625" style="484" customWidth="1"/>
    <col min="9476" max="9476" width="7.42578125" style="484" customWidth="1"/>
    <col min="9477" max="9477" width="12.85546875" style="484" customWidth="1"/>
    <col min="9478" max="9478" width="10.85546875" style="484" customWidth="1"/>
    <col min="9479" max="9479" width="11.85546875" style="484" customWidth="1"/>
    <col min="9480" max="9480" width="22.85546875" style="484" customWidth="1"/>
    <col min="9481" max="9481" width="10.42578125" style="484" customWidth="1"/>
    <col min="9482" max="9482" width="10.5703125" style="484" customWidth="1"/>
    <col min="9483" max="9483" width="10.7109375" style="484" customWidth="1"/>
    <col min="9484" max="9484" width="9.28515625" style="484" customWidth="1"/>
    <col min="9485" max="9485" width="9" style="484" customWidth="1"/>
    <col min="9486" max="9486" width="10.42578125" style="484" customWidth="1"/>
    <col min="9487" max="9487" width="8" style="484" customWidth="1"/>
    <col min="9488" max="9488" width="12.85546875" style="484" customWidth="1"/>
    <col min="9489" max="9489" width="6.7109375" style="484" customWidth="1"/>
    <col min="9490" max="9490" width="12.28515625" style="484" customWidth="1"/>
    <col min="9491" max="9491" width="6.85546875" style="484" customWidth="1"/>
    <col min="9492" max="9492" width="15.28515625" style="484" customWidth="1"/>
    <col min="9493" max="9493" width="9.42578125" style="484" customWidth="1"/>
    <col min="9494" max="9497" width="6.85546875" style="484" customWidth="1"/>
    <col min="9498" max="9498" width="7.5703125" style="484" customWidth="1"/>
    <col min="9499" max="9499" width="9.140625" style="484" customWidth="1"/>
    <col min="9500" max="9500" width="6.28515625" style="484" customWidth="1"/>
    <col min="9501" max="9502" width="30.85546875" style="484" customWidth="1"/>
    <col min="9503" max="9728" width="11.42578125" style="484"/>
    <col min="9729" max="9729" width="37.7109375" style="484" customWidth="1"/>
    <col min="9730" max="9730" width="8" style="484" customWidth="1"/>
    <col min="9731" max="9731" width="13.28515625" style="484" customWidth="1"/>
    <col min="9732" max="9732" width="7.42578125" style="484" customWidth="1"/>
    <col min="9733" max="9733" width="12.85546875" style="484" customWidth="1"/>
    <col min="9734" max="9734" width="10.85546875" style="484" customWidth="1"/>
    <col min="9735" max="9735" width="11.85546875" style="484" customWidth="1"/>
    <col min="9736" max="9736" width="22.85546875" style="484" customWidth="1"/>
    <col min="9737" max="9737" width="10.42578125" style="484" customWidth="1"/>
    <col min="9738" max="9738" width="10.5703125" style="484" customWidth="1"/>
    <col min="9739" max="9739" width="10.7109375" style="484" customWidth="1"/>
    <col min="9740" max="9740" width="9.28515625" style="484" customWidth="1"/>
    <col min="9741" max="9741" width="9" style="484" customWidth="1"/>
    <col min="9742" max="9742" width="10.42578125" style="484" customWidth="1"/>
    <col min="9743" max="9743" width="8" style="484" customWidth="1"/>
    <col min="9744" max="9744" width="12.85546875" style="484" customWidth="1"/>
    <col min="9745" max="9745" width="6.7109375" style="484" customWidth="1"/>
    <col min="9746" max="9746" width="12.28515625" style="484" customWidth="1"/>
    <col min="9747" max="9747" width="6.85546875" style="484" customWidth="1"/>
    <col min="9748" max="9748" width="15.28515625" style="484" customWidth="1"/>
    <col min="9749" max="9749" width="9.42578125" style="484" customWidth="1"/>
    <col min="9750" max="9753" width="6.85546875" style="484" customWidth="1"/>
    <col min="9754" max="9754" width="7.5703125" style="484" customWidth="1"/>
    <col min="9755" max="9755" width="9.140625" style="484" customWidth="1"/>
    <col min="9756" max="9756" width="6.28515625" style="484" customWidth="1"/>
    <col min="9757" max="9758" width="30.85546875" style="484" customWidth="1"/>
    <col min="9759" max="9984" width="11.42578125" style="484"/>
    <col min="9985" max="9985" width="37.7109375" style="484" customWidth="1"/>
    <col min="9986" max="9986" width="8" style="484" customWidth="1"/>
    <col min="9987" max="9987" width="13.28515625" style="484" customWidth="1"/>
    <col min="9988" max="9988" width="7.42578125" style="484" customWidth="1"/>
    <col min="9989" max="9989" width="12.85546875" style="484" customWidth="1"/>
    <col min="9990" max="9990" width="10.85546875" style="484" customWidth="1"/>
    <col min="9991" max="9991" width="11.85546875" style="484" customWidth="1"/>
    <col min="9992" max="9992" width="22.85546875" style="484" customWidth="1"/>
    <col min="9993" max="9993" width="10.42578125" style="484" customWidth="1"/>
    <col min="9994" max="9994" width="10.5703125" style="484" customWidth="1"/>
    <col min="9995" max="9995" width="10.7109375" style="484" customWidth="1"/>
    <col min="9996" max="9996" width="9.28515625" style="484" customWidth="1"/>
    <col min="9997" max="9997" width="9" style="484" customWidth="1"/>
    <col min="9998" max="9998" width="10.42578125" style="484" customWidth="1"/>
    <col min="9999" max="9999" width="8" style="484" customWidth="1"/>
    <col min="10000" max="10000" width="12.85546875" style="484" customWidth="1"/>
    <col min="10001" max="10001" width="6.7109375" style="484" customWidth="1"/>
    <col min="10002" max="10002" width="12.28515625" style="484" customWidth="1"/>
    <col min="10003" max="10003" width="6.85546875" style="484" customWidth="1"/>
    <col min="10004" max="10004" width="15.28515625" style="484" customWidth="1"/>
    <col min="10005" max="10005" width="9.42578125" style="484" customWidth="1"/>
    <col min="10006" max="10009" width="6.85546875" style="484" customWidth="1"/>
    <col min="10010" max="10010" width="7.5703125" style="484" customWidth="1"/>
    <col min="10011" max="10011" width="9.140625" style="484" customWidth="1"/>
    <col min="10012" max="10012" width="6.28515625" style="484" customWidth="1"/>
    <col min="10013" max="10014" width="30.85546875" style="484" customWidth="1"/>
    <col min="10015" max="10240" width="11.42578125" style="484"/>
    <col min="10241" max="10241" width="37.7109375" style="484" customWidth="1"/>
    <col min="10242" max="10242" width="8" style="484" customWidth="1"/>
    <col min="10243" max="10243" width="13.28515625" style="484" customWidth="1"/>
    <col min="10244" max="10244" width="7.42578125" style="484" customWidth="1"/>
    <col min="10245" max="10245" width="12.85546875" style="484" customWidth="1"/>
    <col min="10246" max="10246" width="10.85546875" style="484" customWidth="1"/>
    <col min="10247" max="10247" width="11.85546875" style="484" customWidth="1"/>
    <col min="10248" max="10248" width="22.85546875" style="484" customWidth="1"/>
    <col min="10249" max="10249" width="10.42578125" style="484" customWidth="1"/>
    <col min="10250" max="10250" width="10.5703125" style="484" customWidth="1"/>
    <col min="10251" max="10251" width="10.7109375" style="484" customWidth="1"/>
    <col min="10252" max="10252" width="9.28515625" style="484" customWidth="1"/>
    <col min="10253" max="10253" width="9" style="484" customWidth="1"/>
    <col min="10254" max="10254" width="10.42578125" style="484" customWidth="1"/>
    <col min="10255" max="10255" width="8" style="484" customWidth="1"/>
    <col min="10256" max="10256" width="12.85546875" style="484" customWidth="1"/>
    <col min="10257" max="10257" width="6.7109375" style="484" customWidth="1"/>
    <col min="10258" max="10258" width="12.28515625" style="484" customWidth="1"/>
    <col min="10259" max="10259" width="6.85546875" style="484" customWidth="1"/>
    <col min="10260" max="10260" width="15.28515625" style="484" customWidth="1"/>
    <col min="10261" max="10261" width="9.42578125" style="484" customWidth="1"/>
    <col min="10262" max="10265" width="6.85546875" style="484" customWidth="1"/>
    <col min="10266" max="10266" width="7.5703125" style="484" customWidth="1"/>
    <col min="10267" max="10267" width="9.140625" style="484" customWidth="1"/>
    <col min="10268" max="10268" width="6.28515625" style="484" customWidth="1"/>
    <col min="10269" max="10270" width="30.85546875" style="484" customWidth="1"/>
    <col min="10271" max="10496" width="11.42578125" style="484"/>
    <col min="10497" max="10497" width="37.7109375" style="484" customWidth="1"/>
    <col min="10498" max="10498" width="8" style="484" customWidth="1"/>
    <col min="10499" max="10499" width="13.28515625" style="484" customWidth="1"/>
    <col min="10500" max="10500" width="7.42578125" style="484" customWidth="1"/>
    <col min="10501" max="10501" width="12.85546875" style="484" customWidth="1"/>
    <col min="10502" max="10502" width="10.85546875" style="484" customWidth="1"/>
    <col min="10503" max="10503" width="11.85546875" style="484" customWidth="1"/>
    <col min="10504" max="10504" width="22.85546875" style="484" customWidth="1"/>
    <col min="10505" max="10505" width="10.42578125" style="484" customWidth="1"/>
    <col min="10506" max="10506" width="10.5703125" style="484" customWidth="1"/>
    <col min="10507" max="10507" width="10.7109375" style="484" customWidth="1"/>
    <col min="10508" max="10508" width="9.28515625" style="484" customWidth="1"/>
    <col min="10509" max="10509" width="9" style="484" customWidth="1"/>
    <col min="10510" max="10510" width="10.42578125" style="484" customWidth="1"/>
    <col min="10511" max="10511" width="8" style="484" customWidth="1"/>
    <col min="10512" max="10512" width="12.85546875" style="484" customWidth="1"/>
    <col min="10513" max="10513" width="6.7109375" style="484" customWidth="1"/>
    <col min="10514" max="10514" width="12.28515625" style="484" customWidth="1"/>
    <col min="10515" max="10515" width="6.85546875" style="484" customWidth="1"/>
    <col min="10516" max="10516" width="15.28515625" style="484" customWidth="1"/>
    <col min="10517" max="10517" width="9.42578125" style="484" customWidth="1"/>
    <col min="10518" max="10521" width="6.85546875" style="484" customWidth="1"/>
    <col min="10522" max="10522" width="7.5703125" style="484" customWidth="1"/>
    <col min="10523" max="10523" width="9.140625" style="484" customWidth="1"/>
    <col min="10524" max="10524" width="6.28515625" style="484" customWidth="1"/>
    <col min="10525" max="10526" width="30.85546875" style="484" customWidth="1"/>
    <col min="10527" max="10752" width="11.42578125" style="484"/>
    <col min="10753" max="10753" width="37.7109375" style="484" customWidth="1"/>
    <col min="10754" max="10754" width="8" style="484" customWidth="1"/>
    <col min="10755" max="10755" width="13.28515625" style="484" customWidth="1"/>
    <col min="10756" max="10756" width="7.42578125" style="484" customWidth="1"/>
    <col min="10757" max="10757" width="12.85546875" style="484" customWidth="1"/>
    <col min="10758" max="10758" width="10.85546875" style="484" customWidth="1"/>
    <col min="10759" max="10759" width="11.85546875" style="484" customWidth="1"/>
    <col min="10760" max="10760" width="22.85546875" style="484" customWidth="1"/>
    <col min="10761" max="10761" width="10.42578125" style="484" customWidth="1"/>
    <col min="10762" max="10762" width="10.5703125" style="484" customWidth="1"/>
    <col min="10763" max="10763" width="10.7109375" style="484" customWidth="1"/>
    <col min="10764" max="10764" width="9.28515625" style="484" customWidth="1"/>
    <col min="10765" max="10765" width="9" style="484" customWidth="1"/>
    <col min="10766" max="10766" width="10.42578125" style="484" customWidth="1"/>
    <col min="10767" max="10767" width="8" style="484" customWidth="1"/>
    <col min="10768" max="10768" width="12.85546875" style="484" customWidth="1"/>
    <col min="10769" max="10769" width="6.7109375" style="484" customWidth="1"/>
    <col min="10770" max="10770" width="12.28515625" style="484" customWidth="1"/>
    <col min="10771" max="10771" width="6.85546875" style="484" customWidth="1"/>
    <col min="10772" max="10772" width="15.28515625" style="484" customWidth="1"/>
    <col min="10773" max="10773" width="9.42578125" style="484" customWidth="1"/>
    <col min="10774" max="10777" width="6.85546875" style="484" customWidth="1"/>
    <col min="10778" max="10778" width="7.5703125" style="484" customWidth="1"/>
    <col min="10779" max="10779" width="9.140625" style="484" customWidth="1"/>
    <col min="10780" max="10780" width="6.28515625" style="484" customWidth="1"/>
    <col min="10781" max="10782" width="30.85546875" style="484" customWidth="1"/>
    <col min="10783" max="11008" width="11.42578125" style="484"/>
    <col min="11009" max="11009" width="37.7109375" style="484" customWidth="1"/>
    <col min="11010" max="11010" width="8" style="484" customWidth="1"/>
    <col min="11011" max="11011" width="13.28515625" style="484" customWidth="1"/>
    <col min="11012" max="11012" width="7.42578125" style="484" customWidth="1"/>
    <col min="11013" max="11013" width="12.85546875" style="484" customWidth="1"/>
    <col min="11014" max="11014" width="10.85546875" style="484" customWidth="1"/>
    <col min="11015" max="11015" width="11.85546875" style="484" customWidth="1"/>
    <col min="11016" max="11016" width="22.85546875" style="484" customWidth="1"/>
    <col min="11017" max="11017" width="10.42578125" style="484" customWidth="1"/>
    <col min="11018" max="11018" width="10.5703125" style="484" customWidth="1"/>
    <col min="11019" max="11019" width="10.7109375" style="484" customWidth="1"/>
    <col min="11020" max="11020" width="9.28515625" style="484" customWidth="1"/>
    <col min="11021" max="11021" width="9" style="484" customWidth="1"/>
    <col min="11022" max="11022" width="10.42578125" style="484" customWidth="1"/>
    <col min="11023" max="11023" width="8" style="484" customWidth="1"/>
    <col min="11024" max="11024" width="12.85546875" style="484" customWidth="1"/>
    <col min="11025" max="11025" width="6.7109375" style="484" customWidth="1"/>
    <col min="11026" max="11026" width="12.28515625" style="484" customWidth="1"/>
    <col min="11027" max="11027" width="6.85546875" style="484" customWidth="1"/>
    <col min="11028" max="11028" width="15.28515625" style="484" customWidth="1"/>
    <col min="11029" max="11029" width="9.42578125" style="484" customWidth="1"/>
    <col min="11030" max="11033" width="6.85546875" style="484" customWidth="1"/>
    <col min="11034" max="11034" width="7.5703125" style="484" customWidth="1"/>
    <col min="11035" max="11035" width="9.140625" style="484" customWidth="1"/>
    <col min="11036" max="11036" width="6.28515625" style="484" customWidth="1"/>
    <col min="11037" max="11038" width="30.85546875" style="484" customWidth="1"/>
    <col min="11039" max="11264" width="11.42578125" style="484"/>
    <col min="11265" max="11265" width="37.7109375" style="484" customWidth="1"/>
    <col min="11266" max="11266" width="8" style="484" customWidth="1"/>
    <col min="11267" max="11267" width="13.28515625" style="484" customWidth="1"/>
    <col min="11268" max="11268" width="7.42578125" style="484" customWidth="1"/>
    <col min="11269" max="11269" width="12.85546875" style="484" customWidth="1"/>
    <col min="11270" max="11270" width="10.85546875" style="484" customWidth="1"/>
    <col min="11271" max="11271" width="11.85546875" style="484" customWidth="1"/>
    <col min="11272" max="11272" width="22.85546875" style="484" customWidth="1"/>
    <col min="11273" max="11273" width="10.42578125" style="484" customWidth="1"/>
    <col min="11274" max="11274" width="10.5703125" style="484" customWidth="1"/>
    <col min="11275" max="11275" width="10.7109375" style="484" customWidth="1"/>
    <col min="11276" max="11276" width="9.28515625" style="484" customWidth="1"/>
    <col min="11277" max="11277" width="9" style="484" customWidth="1"/>
    <col min="11278" max="11278" width="10.42578125" style="484" customWidth="1"/>
    <col min="11279" max="11279" width="8" style="484" customWidth="1"/>
    <col min="11280" max="11280" width="12.85546875" style="484" customWidth="1"/>
    <col min="11281" max="11281" width="6.7109375" style="484" customWidth="1"/>
    <col min="11282" max="11282" width="12.28515625" style="484" customWidth="1"/>
    <col min="11283" max="11283" width="6.85546875" style="484" customWidth="1"/>
    <col min="11284" max="11284" width="15.28515625" style="484" customWidth="1"/>
    <col min="11285" max="11285" width="9.42578125" style="484" customWidth="1"/>
    <col min="11286" max="11289" width="6.85546875" style="484" customWidth="1"/>
    <col min="11290" max="11290" width="7.5703125" style="484" customWidth="1"/>
    <col min="11291" max="11291" width="9.140625" style="484" customWidth="1"/>
    <col min="11292" max="11292" width="6.28515625" style="484" customWidth="1"/>
    <col min="11293" max="11294" width="30.85546875" style="484" customWidth="1"/>
    <col min="11295" max="11520" width="11.42578125" style="484"/>
    <col min="11521" max="11521" width="37.7109375" style="484" customWidth="1"/>
    <col min="11522" max="11522" width="8" style="484" customWidth="1"/>
    <col min="11523" max="11523" width="13.28515625" style="484" customWidth="1"/>
    <col min="11524" max="11524" width="7.42578125" style="484" customWidth="1"/>
    <col min="11525" max="11525" width="12.85546875" style="484" customWidth="1"/>
    <col min="11526" max="11526" width="10.85546875" style="484" customWidth="1"/>
    <col min="11527" max="11527" width="11.85546875" style="484" customWidth="1"/>
    <col min="11528" max="11528" width="22.85546875" style="484" customWidth="1"/>
    <col min="11529" max="11529" width="10.42578125" style="484" customWidth="1"/>
    <col min="11530" max="11530" width="10.5703125" style="484" customWidth="1"/>
    <col min="11531" max="11531" width="10.7109375" style="484" customWidth="1"/>
    <col min="11532" max="11532" width="9.28515625" style="484" customWidth="1"/>
    <col min="11533" max="11533" width="9" style="484" customWidth="1"/>
    <col min="11534" max="11534" width="10.42578125" style="484" customWidth="1"/>
    <col min="11535" max="11535" width="8" style="484" customWidth="1"/>
    <col min="11536" max="11536" width="12.85546875" style="484" customWidth="1"/>
    <col min="11537" max="11537" width="6.7109375" style="484" customWidth="1"/>
    <col min="11538" max="11538" width="12.28515625" style="484" customWidth="1"/>
    <col min="11539" max="11539" width="6.85546875" style="484" customWidth="1"/>
    <col min="11540" max="11540" width="15.28515625" style="484" customWidth="1"/>
    <col min="11541" max="11541" width="9.42578125" style="484" customWidth="1"/>
    <col min="11542" max="11545" width="6.85546875" style="484" customWidth="1"/>
    <col min="11546" max="11546" width="7.5703125" style="484" customWidth="1"/>
    <col min="11547" max="11547" width="9.140625" style="484" customWidth="1"/>
    <col min="11548" max="11548" width="6.28515625" style="484" customWidth="1"/>
    <col min="11549" max="11550" width="30.85546875" style="484" customWidth="1"/>
    <col min="11551" max="11776" width="11.42578125" style="484"/>
    <col min="11777" max="11777" width="37.7109375" style="484" customWidth="1"/>
    <col min="11778" max="11778" width="8" style="484" customWidth="1"/>
    <col min="11779" max="11779" width="13.28515625" style="484" customWidth="1"/>
    <col min="11780" max="11780" width="7.42578125" style="484" customWidth="1"/>
    <col min="11781" max="11781" width="12.85546875" style="484" customWidth="1"/>
    <col min="11782" max="11782" width="10.85546875" style="484" customWidth="1"/>
    <col min="11783" max="11783" width="11.85546875" style="484" customWidth="1"/>
    <col min="11784" max="11784" width="22.85546875" style="484" customWidth="1"/>
    <col min="11785" max="11785" width="10.42578125" style="484" customWidth="1"/>
    <col min="11786" max="11786" width="10.5703125" style="484" customWidth="1"/>
    <col min="11787" max="11787" width="10.7109375" style="484" customWidth="1"/>
    <col min="11788" max="11788" width="9.28515625" style="484" customWidth="1"/>
    <col min="11789" max="11789" width="9" style="484" customWidth="1"/>
    <col min="11790" max="11790" width="10.42578125" style="484" customWidth="1"/>
    <col min="11791" max="11791" width="8" style="484" customWidth="1"/>
    <col min="11792" max="11792" width="12.85546875" style="484" customWidth="1"/>
    <col min="11793" max="11793" width="6.7109375" style="484" customWidth="1"/>
    <col min="11794" max="11794" width="12.28515625" style="484" customWidth="1"/>
    <col min="11795" max="11795" width="6.85546875" style="484" customWidth="1"/>
    <col min="11796" max="11796" width="15.28515625" style="484" customWidth="1"/>
    <col min="11797" max="11797" width="9.42578125" style="484" customWidth="1"/>
    <col min="11798" max="11801" width="6.85546875" style="484" customWidth="1"/>
    <col min="11802" max="11802" width="7.5703125" style="484" customWidth="1"/>
    <col min="11803" max="11803" width="9.140625" style="484" customWidth="1"/>
    <col min="11804" max="11804" width="6.28515625" style="484" customWidth="1"/>
    <col min="11805" max="11806" width="30.85546875" style="484" customWidth="1"/>
    <col min="11807" max="12032" width="11.42578125" style="484"/>
    <col min="12033" max="12033" width="37.7109375" style="484" customWidth="1"/>
    <col min="12034" max="12034" width="8" style="484" customWidth="1"/>
    <col min="12035" max="12035" width="13.28515625" style="484" customWidth="1"/>
    <col min="12036" max="12036" width="7.42578125" style="484" customWidth="1"/>
    <col min="12037" max="12037" width="12.85546875" style="484" customWidth="1"/>
    <col min="12038" max="12038" width="10.85546875" style="484" customWidth="1"/>
    <col min="12039" max="12039" width="11.85546875" style="484" customWidth="1"/>
    <col min="12040" max="12040" width="22.85546875" style="484" customWidth="1"/>
    <col min="12041" max="12041" width="10.42578125" style="484" customWidth="1"/>
    <col min="12042" max="12042" width="10.5703125" style="484" customWidth="1"/>
    <col min="12043" max="12043" width="10.7109375" style="484" customWidth="1"/>
    <col min="12044" max="12044" width="9.28515625" style="484" customWidth="1"/>
    <col min="12045" max="12045" width="9" style="484" customWidth="1"/>
    <col min="12046" max="12046" width="10.42578125" style="484" customWidth="1"/>
    <col min="12047" max="12047" width="8" style="484" customWidth="1"/>
    <col min="12048" max="12048" width="12.85546875" style="484" customWidth="1"/>
    <col min="12049" max="12049" width="6.7109375" style="484" customWidth="1"/>
    <col min="12050" max="12050" width="12.28515625" style="484" customWidth="1"/>
    <col min="12051" max="12051" width="6.85546875" style="484" customWidth="1"/>
    <col min="12052" max="12052" width="15.28515625" style="484" customWidth="1"/>
    <col min="12053" max="12053" width="9.42578125" style="484" customWidth="1"/>
    <col min="12054" max="12057" width="6.85546875" style="484" customWidth="1"/>
    <col min="12058" max="12058" width="7.5703125" style="484" customWidth="1"/>
    <col min="12059" max="12059" width="9.140625" style="484" customWidth="1"/>
    <col min="12060" max="12060" width="6.28515625" style="484" customWidth="1"/>
    <col min="12061" max="12062" width="30.85546875" style="484" customWidth="1"/>
    <col min="12063" max="12288" width="11.42578125" style="484"/>
    <col min="12289" max="12289" width="37.7109375" style="484" customWidth="1"/>
    <col min="12290" max="12290" width="8" style="484" customWidth="1"/>
    <col min="12291" max="12291" width="13.28515625" style="484" customWidth="1"/>
    <col min="12292" max="12292" width="7.42578125" style="484" customWidth="1"/>
    <col min="12293" max="12293" width="12.85546875" style="484" customWidth="1"/>
    <col min="12294" max="12294" width="10.85546875" style="484" customWidth="1"/>
    <col min="12295" max="12295" width="11.85546875" style="484" customWidth="1"/>
    <col min="12296" max="12296" width="22.85546875" style="484" customWidth="1"/>
    <col min="12297" max="12297" width="10.42578125" style="484" customWidth="1"/>
    <col min="12298" max="12298" width="10.5703125" style="484" customWidth="1"/>
    <col min="12299" max="12299" width="10.7109375" style="484" customWidth="1"/>
    <col min="12300" max="12300" width="9.28515625" style="484" customWidth="1"/>
    <col min="12301" max="12301" width="9" style="484" customWidth="1"/>
    <col min="12302" max="12302" width="10.42578125" style="484" customWidth="1"/>
    <col min="12303" max="12303" width="8" style="484" customWidth="1"/>
    <col min="12304" max="12304" width="12.85546875" style="484" customWidth="1"/>
    <col min="12305" max="12305" width="6.7109375" style="484" customWidth="1"/>
    <col min="12306" max="12306" width="12.28515625" style="484" customWidth="1"/>
    <col min="12307" max="12307" width="6.85546875" style="484" customWidth="1"/>
    <col min="12308" max="12308" width="15.28515625" style="484" customWidth="1"/>
    <col min="12309" max="12309" width="9.42578125" style="484" customWidth="1"/>
    <col min="12310" max="12313" width="6.85546875" style="484" customWidth="1"/>
    <col min="12314" max="12314" width="7.5703125" style="484" customWidth="1"/>
    <col min="12315" max="12315" width="9.140625" style="484" customWidth="1"/>
    <col min="12316" max="12316" width="6.28515625" style="484" customWidth="1"/>
    <col min="12317" max="12318" width="30.85546875" style="484" customWidth="1"/>
    <col min="12319" max="12544" width="11.42578125" style="484"/>
    <col min="12545" max="12545" width="37.7109375" style="484" customWidth="1"/>
    <col min="12546" max="12546" width="8" style="484" customWidth="1"/>
    <col min="12547" max="12547" width="13.28515625" style="484" customWidth="1"/>
    <col min="12548" max="12548" width="7.42578125" style="484" customWidth="1"/>
    <col min="12549" max="12549" width="12.85546875" style="484" customWidth="1"/>
    <col min="12550" max="12550" width="10.85546875" style="484" customWidth="1"/>
    <col min="12551" max="12551" width="11.85546875" style="484" customWidth="1"/>
    <col min="12552" max="12552" width="22.85546875" style="484" customWidth="1"/>
    <col min="12553" max="12553" width="10.42578125" style="484" customWidth="1"/>
    <col min="12554" max="12554" width="10.5703125" style="484" customWidth="1"/>
    <col min="12555" max="12555" width="10.7109375" style="484" customWidth="1"/>
    <col min="12556" max="12556" width="9.28515625" style="484" customWidth="1"/>
    <col min="12557" max="12557" width="9" style="484" customWidth="1"/>
    <col min="12558" max="12558" width="10.42578125" style="484" customWidth="1"/>
    <col min="12559" max="12559" width="8" style="484" customWidth="1"/>
    <col min="12560" max="12560" width="12.85546875" style="484" customWidth="1"/>
    <col min="12561" max="12561" width="6.7109375" style="484" customWidth="1"/>
    <col min="12562" max="12562" width="12.28515625" style="484" customWidth="1"/>
    <col min="12563" max="12563" width="6.85546875" style="484" customWidth="1"/>
    <col min="12564" max="12564" width="15.28515625" style="484" customWidth="1"/>
    <col min="12565" max="12565" width="9.42578125" style="484" customWidth="1"/>
    <col min="12566" max="12569" width="6.85546875" style="484" customWidth="1"/>
    <col min="12570" max="12570" width="7.5703125" style="484" customWidth="1"/>
    <col min="12571" max="12571" width="9.140625" style="484" customWidth="1"/>
    <col min="12572" max="12572" width="6.28515625" style="484" customWidth="1"/>
    <col min="12573" max="12574" width="30.85546875" style="484" customWidth="1"/>
    <col min="12575" max="12800" width="11.42578125" style="484"/>
    <col min="12801" max="12801" width="37.7109375" style="484" customWidth="1"/>
    <col min="12802" max="12802" width="8" style="484" customWidth="1"/>
    <col min="12803" max="12803" width="13.28515625" style="484" customWidth="1"/>
    <col min="12804" max="12804" width="7.42578125" style="484" customWidth="1"/>
    <col min="12805" max="12805" width="12.85546875" style="484" customWidth="1"/>
    <col min="12806" max="12806" width="10.85546875" style="484" customWidth="1"/>
    <col min="12807" max="12807" width="11.85546875" style="484" customWidth="1"/>
    <col min="12808" max="12808" width="22.85546875" style="484" customWidth="1"/>
    <col min="12809" max="12809" width="10.42578125" style="484" customWidth="1"/>
    <col min="12810" max="12810" width="10.5703125" style="484" customWidth="1"/>
    <col min="12811" max="12811" width="10.7109375" style="484" customWidth="1"/>
    <col min="12812" max="12812" width="9.28515625" style="484" customWidth="1"/>
    <col min="12813" max="12813" width="9" style="484" customWidth="1"/>
    <col min="12814" max="12814" width="10.42578125" style="484" customWidth="1"/>
    <col min="12815" max="12815" width="8" style="484" customWidth="1"/>
    <col min="12816" max="12816" width="12.85546875" style="484" customWidth="1"/>
    <col min="12817" max="12817" width="6.7109375" style="484" customWidth="1"/>
    <col min="12818" max="12818" width="12.28515625" style="484" customWidth="1"/>
    <col min="12819" max="12819" width="6.85546875" style="484" customWidth="1"/>
    <col min="12820" max="12820" width="15.28515625" style="484" customWidth="1"/>
    <col min="12821" max="12821" width="9.42578125" style="484" customWidth="1"/>
    <col min="12822" max="12825" width="6.85546875" style="484" customWidth="1"/>
    <col min="12826" max="12826" width="7.5703125" style="484" customWidth="1"/>
    <col min="12827" max="12827" width="9.140625" style="484" customWidth="1"/>
    <col min="12828" max="12828" width="6.28515625" style="484" customWidth="1"/>
    <col min="12829" max="12830" width="30.85546875" style="484" customWidth="1"/>
    <col min="12831" max="13056" width="11.42578125" style="484"/>
    <col min="13057" max="13057" width="37.7109375" style="484" customWidth="1"/>
    <col min="13058" max="13058" width="8" style="484" customWidth="1"/>
    <col min="13059" max="13059" width="13.28515625" style="484" customWidth="1"/>
    <col min="13060" max="13060" width="7.42578125" style="484" customWidth="1"/>
    <col min="13061" max="13061" width="12.85546875" style="484" customWidth="1"/>
    <col min="13062" max="13062" width="10.85546875" style="484" customWidth="1"/>
    <col min="13063" max="13063" width="11.85546875" style="484" customWidth="1"/>
    <col min="13064" max="13064" width="22.85546875" style="484" customWidth="1"/>
    <col min="13065" max="13065" width="10.42578125" style="484" customWidth="1"/>
    <col min="13066" max="13066" width="10.5703125" style="484" customWidth="1"/>
    <col min="13067" max="13067" width="10.7109375" style="484" customWidth="1"/>
    <col min="13068" max="13068" width="9.28515625" style="484" customWidth="1"/>
    <col min="13069" max="13069" width="9" style="484" customWidth="1"/>
    <col min="13070" max="13070" width="10.42578125" style="484" customWidth="1"/>
    <col min="13071" max="13071" width="8" style="484" customWidth="1"/>
    <col min="13072" max="13072" width="12.85546875" style="484" customWidth="1"/>
    <col min="13073" max="13073" width="6.7109375" style="484" customWidth="1"/>
    <col min="13074" max="13074" width="12.28515625" style="484" customWidth="1"/>
    <col min="13075" max="13075" width="6.85546875" style="484" customWidth="1"/>
    <col min="13076" max="13076" width="15.28515625" style="484" customWidth="1"/>
    <col min="13077" max="13077" width="9.42578125" style="484" customWidth="1"/>
    <col min="13078" max="13081" width="6.85546875" style="484" customWidth="1"/>
    <col min="13082" max="13082" width="7.5703125" style="484" customWidth="1"/>
    <col min="13083" max="13083" width="9.140625" style="484" customWidth="1"/>
    <col min="13084" max="13084" width="6.28515625" style="484" customWidth="1"/>
    <col min="13085" max="13086" width="30.85546875" style="484" customWidth="1"/>
    <col min="13087" max="13312" width="11.42578125" style="484"/>
    <col min="13313" max="13313" width="37.7109375" style="484" customWidth="1"/>
    <col min="13314" max="13314" width="8" style="484" customWidth="1"/>
    <col min="13315" max="13315" width="13.28515625" style="484" customWidth="1"/>
    <col min="13316" max="13316" width="7.42578125" style="484" customWidth="1"/>
    <col min="13317" max="13317" width="12.85546875" style="484" customWidth="1"/>
    <col min="13318" max="13318" width="10.85546875" style="484" customWidth="1"/>
    <col min="13319" max="13319" width="11.85546875" style="484" customWidth="1"/>
    <col min="13320" max="13320" width="22.85546875" style="484" customWidth="1"/>
    <col min="13321" max="13321" width="10.42578125" style="484" customWidth="1"/>
    <col min="13322" max="13322" width="10.5703125" style="484" customWidth="1"/>
    <col min="13323" max="13323" width="10.7109375" style="484" customWidth="1"/>
    <col min="13324" max="13324" width="9.28515625" style="484" customWidth="1"/>
    <col min="13325" max="13325" width="9" style="484" customWidth="1"/>
    <col min="13326" max="13326" width="10.42578125" style="484" customWidth="1"/>
    <col min="13327" max="13327" width="8" style="484" customWidth="1"/>
    <col min="13328" max="13328" width="12.85546875" style="484" customWidth="1"/>
    <col min="13329" max="13329" width="6.7109375" style="484" customWidth="1"/>
    <col min="13330" max="13330" width="12.28515625" style="484" customWidth="1"/>
    <col min="13331" max="13331" width="6.85546875" style="484" customWidth="1"/>
    <col min="13332" max="13332" width="15.28515625" style="484" customWidth="1"/>
    <col min="13333" max="13333" width="9.42578125" style="484" customWidth="1"/>
    <col min="13334" max="13337" width="6.85546875" style="484" customWidth="1"/>
    <col min="13338" max="13338" width="7.5703125" style="484" customWidth="1"/>
    <col min="13339" max="13339" width="9.140625" style="484" customWidth="1"/>
    <col min="13340" max="13340" width="6.28515625" style="484" customWidth="1"/>
    <col min="13341" max="13342" width="30.85546875" style="484" customWidth="1"/>
    <col min="13343" max="13568" width="11.42578125" style="484"/>
    <col min="13569" max="13569" width="37.7109375" style="484" customWidth="1"/>
    <col min="13570" max="13570" width="8" style="484" customWidth="1"/>
    <col min="13571" max="13571" width="13.28515625" style="484" customWidth="1"/>
    <col min="13572" max="13572" width="7.42578125" style="484" customWidth="1"/>
    <col min="13573" max="13573" width="12.85546875" style="484" customWidth="1"/>
    <col min="13574" max="13574" width="10.85546875" style="484" customWidth="1"/>
    <col min="13575" max="13575" width="11.85546875" style="484" customWidth="1"/>
    <col min="13576" max="13576" width="22.85546875" style="484" customWidth="1"/>
    <col min="13577" max="13577" width="10.42578125" style="484" customWidth="1"/>
    <col min="13578" max="13578" width="10.5703125" style="484" customWidth="1"/>
    <col min="13579" max="13579" width="10.7109375" style="484" customWidth="1"/>
    <col min="13580" max="13580" width="9.28515625" style="484" customWidth="1"/>
    <col min="13581" max="13581" width="9" style="484" customWidth="1"/>
    <col min="13582" max="13582" width="10.42578125" style="484" customWidth="1"/>
    <col min="13583" max="13583" width="8" style="484" customWidth="1"/>
    <col min="13584" max="13584" width="12.85546875" style="484" customWidth="1"/>
    <col min="13585" max="13585" width="6.7109375" style="484" customWidth="1"/>
    <col min="13586" max="13586" width="12.28515625" style="484" customWidth="1"/>
    <col min="13587" max="13587" width="6.85546875" style="484" customWidth="1"/>
    <col min="13588" max="13588" width="15.28515625" style="484" customWidth="1"/>
    <col min="13589" max="13589" width="9.42578125" style="484" customWidth="1"/>
    <col min="13590" max="13593" width="6.85546875" style="484" customWidth="1"/>
    <col min="13594" max="13594" width="7.5703125" style="484" customWidth="1"/>
    <col min="13595" max="13595" width="9.140625" style="484" customWidth="1"/>
    <col min="13596" max="13596" width="6.28515625" style="484" customWidth="1"/>
    <col min="13597" max="13598" width="30.85546875" style="484" customWidth="1"/>
    <col min="13599" max="13824" width="11.42578125" style="484"/>
    <col min="13825" max="13825" width="37.7109375" style="484" customWidth="1"/>
    <col min="13826" max="13826" width="8" style="484" customWidth="1"/>
    <col min="13827" max="13827" width="13.28515625" style="484" customWidth="1"/>
    <col min="13828" max="13828" width="7.42578125" style="484" customWidth="1"/>
    <col min="13829" max="13829" width="12.85546875" style="484" customWidth="1"/>
    <col min="13830" max="13830" width="10.85546875" style="484" customWidth="1"/>
    <col min="13831" max="13831" width="11.85546875" style="484" customWidth="1"/>
    <col min="13832" max="13832" width="22.85546875" style="484" customWidth="1"/>
    <col min="13833" max="13833" width="10.42578125" style="484" customWidth="1"/>
    <col min="13834" max="13834" width="10.5703125" style="484" customWidth="1"/>
    <col min="13835" max="13835" width="10.7109375" style="484" customWidth="1"/>
    <col min="13836" max="13836" width="9.28515625" style="484" customWidth="1"/>
    <col min="13837" max="13837" width="9" style="484" customWidth="1"/>
    <col min="13838" max="13838" width="10.42578125" style="484" customWidth="1"/>
    <col min="13839" max="13839" width="8" style="484" customWidth="1"/>
    <col min="13840" max="13840" width="12.85546875" style="484" customWidth="1"/>
    <col min="13841" max="13841" width="6.7109375" style="484" customWidth="1"/>
    <col min="13842" max="13842" width="12.28515625" style="484" customWidth="1"/>
    <col min="13843" max="13843" width="6.85546875" style="484" customWidth="1"/>
    <col min="13844" max="13844" width="15.28515625" style="484" customWidth="1"/>
    <col min="13845" max="13845" width="9.42578125" style="484" customWidth="1"/>
    <col min="13846" max="13849" width="6.85546875" style="484" customWidth="1"/>
    <col min="13850" max="13850" width="7.5703125" style="484" customWidth="1"/>
    <col min="13851" max="13851" width="9.140625" style="484" customWidth="1"/>
    <col min="13852" max="13852" width="6.28515625" style="484" customWidth="1"/>
    <col min="13853" max="13854" width="30.85546875" style="484" customWidth="1"/>
    <col min="13855" max="14080" width="11.42578125" style="484"/>
    <col min="14081" max="14081" width="37.7109375" style="484" customWidth="1"/>
    <col min="14082" max="14082" width="8" style="484" customWidth="1"/>
    <col min="14083" max="14083" width="13.28515625" style="484" customWidth="1"/>
    <col min="14084" max="14084" width="7.42578125" style="484" customWidth="1"/>
    <col min="14085" max="14085" width="12.85546875" style="484" customWidth="1"/>
    <col min="14086" max="14086" width="10.85546875" style="484" customWidth="1"/>
    <col min="14087" max="14087" width="11.85546875" style="484" customWidth="1"/>
    <col min="14088" max="14088" width="22.85546875" style="484" customWidth="1"/>
    <col min="14089" max="14089" width="10.42578125" style="484" customWidth="1"/>
    <col min="14090" max="14090" width="10.5703125" style="484" customWidth="1"/>
    <col min="14091" max="14091" width="10.7109375" style="484" customWidth="1"/>
    <col min="14092" max="14092" width="9.28515625" style="484" customWidth="1"/>
    <col min="14093" max="14093" width="9" style="484" customWidth="1"/>
    <col min="14094" max="14094" width="10.42578125" style="484" customWidth="1"/>
    <col min="14095" max="14095" width="8" style="484" customWidth="1"/>
    <col min="14096" max="14096" width="12.85546875" style="484" customWidth="1"/>
    <col min="14097" max="14097" width="6.7109375" style="484" customWidth="1"/>
    <col min="14098" max="14098" width="12.28515625" style="484" customWidth="1"/>
    <col min="14099" max="14099" width="6.85546875" style="484" customWidth="1"/>
    <col min="14100" max="14100" width="15.28515625" style="484" customWidth="1"/>
    <col min="14101" max="14101" width="9.42578125" style="484" customWidth="1"/>
    <col min="14102" max="14105" width="6.85546875" style="484" customWidth="1"/>
    <col min="14106" max="14106" width="7.5703125" style="484" customWidth="1"/>
    <col min="14107" max="14107" width="9.140625" style="484" customWidth="1"/>
    <col min="14108" max="14108" width="6.28515625" style="484" customWidth="1"/>
    <col min="14109" max="14110" width="30.85546875" style="484" customWidth="1"/>
    <col min="14111" max="14336" width="11.42578125" style="484"/>
    <col min="14337" max="14337" width="37.7109375" style="484" customWidth="1"/>
    <col min="14338" max="14338" width="8" style="484" customWidth="1"/>
    <col min="14339" max="14339" width="13.28515625" style="484" customWidth="1"/>
    <col min="14340" max="14340" width="7.42578125" style="484" customWidth="1"/>
    <col min="14341" max="14341" width="12.85546875" style="484" customWidth="1"/>
    <col min="14342" max="14342" width="10.85546875" style="484" customWidth="1"/>
    <col min="14343" max="14343" width="11.85546875" style="484" customWidth="1"/>
    <col min="14344" max="14344" width="22.85546875" style="484" customWidth="1"/>
    <col min="14345" max="14345" width="10.42578125" style="484" customWidth="1"/>
    <col min="14346" max="14346" width="10.5703125" style="484" customWidth="1"/>
    <col min="14347" max="14347" width="10.7109375" style="484" customWidth="1"/>
    <col min="14348" max="14348" width="9.28515625" style="484" customWidth="1"/>
    <col min="14349" max="14349" width="9" style="484" customWidth="1"/>
    <col min="14350" max="14350" width="10.42578125" style="484" customWidth="1"/>
    <col min="14351" max="14351" width="8" style="484" customWidth="1"/>
    <col min="14352" max="14352" width="12.85546875" style="484" customWidth="1"/>
    <col min="14353" max="14353" width="6.7109375" style="484" customWidth="1"/>
    <col min="14354" max="14354" width="12.28515625" style="484" customWidth="1"/>
    <col min="14355" max="14355" width="6.85546875" style="484" customWidth="1"/>
    <col min="14356" max="14356" width="15.28515625" style="484" customWidth="1"/>
    <col min="14357" max="14357" width="9.42578125" style="484" customWidth="1"/>
    <col min="14358" max="14361" width="6.85546875" style="484" customWidth="1"/>
    <col min="14362" max="14362" width="7.5703125" style="484" customWidth="1"/>
    <col min="14363" max="14363" width="9.140625" style="484" customWidth="1"/>
    <col min="14364" max="14364" width="6.28515625" style="484" customWidth="1"/>
    <col min="14365" max="14366" width="30.85546875" style="484" customWidth="1"/>
    <col min="14367" max="14592" width="11.42578125" style="484"/>
    <col min="14593" max="14593" width="37.7109375" style="484" customWidth="1"/>
    <col min="14594" max="14594" width="8" style="484" customWidth="1"/>
    <col min="14595" max="14595" width="13.28515625" style="484" customWidth="1"/>
    <col min="14596" max="14596" width="7.42578125" style="484" customWidth="1"/>
    <col min="14597" max="14597" width="12.85546875" style="484" customWidth="1"/>
    <col min="14598" max="14598" width="10.85546875" style="484" customWidth="1"/>
    <col min="14599" max="14599" width="11.85546875" style="484" customWidth="1"/>
    <col min="14600" max="14600" width="22.85546875" style="484" customWidth="1"/>
    <col min="14601" max="14601" width="10.42578125" style="484" customWidth="1"/>
    <col min="14602" max="14602" width="10.5703125" style="484" customWidth="1"/>
    <col min="14603" max="14603" width="10.7109375" style="484" customWidth="1"/>
    <col min="14604" max="14604" width="9.28515625" style="484" customWidth="1"/>
    <col min="14605" max="14605" width="9" style="484" customWidth="1"/>
    <col min="14606" max="14606" width="10.42578125" style="484" customWidth="1"/>
    <col min="14607" max="14607" width="8" style="484" customWidth="1"/>
    <col min="14608" max="14608" width="12.85546875" style="484" customWidth="1"/>
    <col min="14609" max="14609" width="6.7109375" style="484" customWidth="1"/>
    <col min="14610" max="14610" width="12.28515625" style="484" customWidth="1"/>
    <col min="14611" max="14611" width="6.85546875" style="484" customWidth="1"/>
    <col min="14612" max="14612" width="15.28515625" style="484" customWidth="1"/>
    <col min="14613" max="14613" width="9.42578125" style="484" customWidth="1"/>
    <col min="14614" max="14617" width="6.85546875" style="484" customWidth="1"/>
    <col min="14618" max="14618" width="7.5703125" style="484" customWidth="1"/>
    <col min="14619" max="14619" width="9.140625" style="484" customWidth="1"/>
    <col min="14620" max="14620" width="6.28515625" style="484" customWidth="1"/>
    <col min="14621" max="14622" width="30.85546875" style="484" customWidth="1"/>
    <col min="14623" max="14848" width="11.42578125" style="484"/>
    <col min="14849" max="14849" width="37.7109375" style="484" customWidth="1"/>
    <col min="14850" max="14850" width="8" style="484" customWidth="1"/>
    <col min="14851" max="14851" width="13.28515625" style="484" customWidth="1"/>
    <col min="14852" max="14852" width="7.42578125" style="484" customWidth="1"/>
    <col min="14853" max="14853" width="12.85546875" style="484" customWidth="1"/>
    <col min="14854" max="14854" width="10.85546875" style="484" customWidth="1"/>
    <col min="14855" max="14855" width="11.85546875" style="484" customWidth="1"/>
    <col min="14856" max="14856" width="22.85546875" style="484" customWidth="1"/>
    <col min="14857" max="14857" width="10.42578125" style="484" customWidth="1"/>
    <col min="14858" max="14858" width="10.5703125" style="484" customWidth="1"/>
    <col min="14859" max="14859" width="10.7109375" style="484" customWidth="1"/>
    <col min="14860" max="14860" width="9.28515625" style="484" customWidth="1"/>
    <col min="14861" max="14861" width="9" style="484" customWidth="1"/>
    <col min="14862" max="14862" width="10.42578125" style="484" customWidth="1"/>
    <col min="14863" max="14863" width="8" style="484" customWidth="1"/>
    <col min="14864" max="14864" width="12.85546875" style="484" customWidth="1"/>
    <col min="14865" max="14865" width="6.7109375" style="484" customWidth="1"/>
    <col min="14866" max="14866" width="12.28515625" style="484" customWidth="1"/>
    <col min="14867" max="14867" width="6.85546875" style="484" customWidth="1"/>
    <col min="14868" max="14868" width="15.28515625" style="484" customWidth="1"/>
    <col min="14869" max="14869" width="9.42578125" style="484" customWidth="1"/>
    <col min="14870" max="14873" width="6.85546875" style="484" customWidth="1"/>
    <col min="14874" max="14874" width="7.5703125" style="484" customWidth="1"/>
    <col min="14875" max="14875" width="9.140625" style="484" customWidth="1"/>
    <col min="14876" max="14876" width="6.28515625" style="484" customWidth="1"/>
    <col min="14877" max="14878" width="30.85546875" style="484" customWidth="1"/>
    <col min="14879" max="15104" width="11.42578125" style="484"/>
    <col min="15105" max="15105" width="37.7109375" style="484" customWidth="1"/>
    <col min="15106" max="15106" width="8" style="484" customWidth="1"/>
    <col min="15107" max="15107" width="13.28515625" style="484" customWidth="1"/>
    <col min="15108" max="15108" width="7.42578125" style="484" customWidth="1"/>
    <col min="15109" max="15109" width="12.85546875" style="484" customWidth="1"/>
    <col min="15110" max="15110" width="10.85546875" style="484" customWidth="1"/>
    <col min="15111" max="15111" width="11.85546875" style="484" customWidth="1"/>
    <col min="15112" max="15112" width="22.85546875" style="484" customWidth="1"/>
    <col min="15113" max="15113" width="10.42578125" style="484" customWidth="1"/>
    <col min="15114" max="15114" width="10.5703125" style="484" customWidth="1"/>
    <col min="15115" max="15115" width="10.7109375" style="484" customWidth="1"/>
    <col min="15116" max="15116" width="9.28515625" style="484" customWidth="1"/>
    <col min="15117" max="15117" width="9" style="484" customWidth="1"/>
    <col min="15118" max="15118" width="10.42578125" style="484" customWidth="1"/>
    <col min="15119" max="15119" width="8" style="484" customWidth="1"/>
    <col min="15120" max="15120" width="12.85546875" style="484" customWidth="1"/>
    <col min="15121" max="15121" width="6.7109375" style="484" customWidth="1"/>
    <col min="15122" max="15122" width="12.28515625" style="484" customWidth="1"/>
    <col min="15123" max="15123" width="6.85546875" style="484" customWidth="1"/>
    <col min="15124" max="15124" width="15.28515625" style="484" customWidth="1"/>
    <col min="15125" max="15125" width="9.42578125" style="484" customWidth="1"/>
    <col min="15126" max="15129" width="6.85546875" style="484" customWidth="1"/>
    <col min="15130" max="15130" width="7.5703125" style="484" customWidth="1"/>
    <col min="15131" max="15131" width="9.140625" style="484" customWidth="1"/>
    <col min="15132" max="15132" width="6.28515625" style="484" customWidth="1"/>
    <col min="15133" max="15134" width="30.85546875" style="484" customWidth="1"/>
    <col min="15135" max="15360" width="11.42578125" style="484"/>
    <col min="15361" max="15361" width="37.7109375" style="484" customWidth="1"/>
    <col min="15362" max="15362" width="8" style="484" customWidth="1"/>
    <col min="15363" max="15363" width="13.28515625" style="484" customWidth="1"/>
    <col min="15364" max="15364" width="7.42578125" style="484" customWidth="1"/>
    <col min="15365" max="15365" width="12.85546875" style="484" customWidth="1"/>
    <col min="15366" max="15366" width="10.85546875" style="484" customWidth="1"/>
    <col min="15367" max="15367" width="11.85546875" style="484" customWidth="1"/>
    <col min="15368" max="15368" width="22.85546875" style="484" customWidth="1"/>
    <col min="15369" max="15369" width="10.42578125" style="484" customWidth="1"/>
    <col min="15370" max="15370" width="10.5703125" style="484" customWidth="1"/>
    <col min="15371" max="15371" width="10.7109375" style="484" customWidth="1"/>
    <col min="15372" max="15372" width="9.28515625" style="484" customWidth="1"/>
    <col min="15373" max="15373" width="9" style="484" customWidth="1"/>
    <col min="15374" max="15374" width="10.42578125" style="484" customWidth="1"/>
    <col min="15375" max="15375" width="8" style="484" customWidth="1"/>
    <col min="15376" max="15376" width="12.85546875" style="484" customWidth="1"/>
    <col min="15377" max="15377" width="6.7109375" style="484" customWidth="1"/>
    <col min="15378" max="15378" width="12.28515625" style="484" customWidth="1"/>
    <col min="15379" max="15379" width="6.85546875" style="484" customWidth="1"/>
    <col min="15380" max="15380" width="15.28515625" style="484" customWidth="1"/>
    <col min="15381" max="15381" width="9.42578125" style="484" customWidth="1"/>
    <col min="15382" max="15385" width="6.85546875" style="484" customWidth="1"/>
    <col min="15386" max="15386" width="7.5703125" style="484" customWidth="1"/>
    <col min="15387" max="15387" width="9.140625" style="484" customWidth="1"/>
    <col min="15388" max="15388" width="6.28515625" style="484" customWidth="1"/>
    <col min="15389" max="15390" width="30.85546875" style="484" customWidth="1"/>
    <col min="15391" max="15616" width="11.42578125" style="484"/>
    <col min="15617" max="15617" width="37.7109375" style="484" customWidth="1"/>
    <col min="15618" max="15618" width="8" style="484" customWidth="1"/>
    <col min="15619" max="15619" width="13.28515625" style="484" customWidth="1"/>
    <col min="15620" max="15620" width="7.42578125" style="484" customWidth="1"/>
    <col min="15621" max="15621" width="12.85546875" style="484" customWidth="1"/>
    <col min="15622" max="15622" width="10.85546875" style="484" customWidth="1"/>
    <col min="15623" max="15623" width="11.85546875" style="484" customWidth="1"/>
    <col min="15624" max="15624" width="22.85546875" style="484" customWidth="1"/>
    <col min="15625" max="15625" width="10.42578125" style="484" customWidth="1"/>
    <col min="15626" max="15626" width="10.5703125" style="484" customWidth="1"/>
    <col min="15627" max="15627" width="10.7109375" style="484" customWidth="1"/>
    <col min="15628" max="15628" width="9.28515625" style="484" customWidth="1"/>
    <col min="15629" max="15629" width="9" style="484" customWidth="1"/>
    <col min="15630" max="15630" width="10.42578125" style="484" customWidth="1"/>
    <col min="15631" max="15631" width="8" style="484" customWidth="1"/>
    <col min="15632" max="15632" width="12.85546875" style="484" customWidth="1"/>
    <col min="15633" max="15633" width="6.7109375" style="484" customWidth="1"/>
    <col min="15634" max="15634" width="12.28515625" style="484" customWidth="1"/>
    <col min="15635" max="15635" width="6.85546875" style="484" customWidth="1"/>
    <col min="15636" max="15636" width="15.28515625" style="484" customWidth="1"/>
    <col min="15637" max="15637" width="9.42578125" style="484" customWidth="1"/>
    <col min="15638" max="15641" width="6.85546875" style="484" customWidth="1"/>
    <col min="15642" max="15642" width="7.5703125" style="484" customWidth="1"/>
    <col min="15643" max="15643" width="9.140625" style="484" customWidth="1"/>
    <col min="15644" max="15644" width="6.28515625" style="484" customWidth="1"/>
    <col min="15645" max="15646" width="30.85546875" style="484" customWidth="1"/>
    <col min="15647" max="15872" width="11.42578125" style="484"/>
    <col min="15873" max="15873" width="37.7109375" style="484" customWidth="1"/>
    <col min="15874" max="15874" width="8" style="484" customWidth="1"/>
    <col min="15875" max="15875" width="13.28515625" style="484" customWidth="1"/>
    <col min="15876" max="15876" width="7.42578125" style="484" customWidth="1"/>
    <col min="15877" max="15877" width="12.85546875" style="484" customWidth="1"/>
    <col min="15878" max="15878" width="10.85546875" style="484" customWidth="1"/>
    <col min="15879" max="15879" width="11.85546875" style="484" customWidth="1"/>
    <col min="15880" max="15880" width="22.85546875" style="484" customWidth="1"/>
    <col min="15881" max="15881" width="10.42578125" style="484" customWidth="1"/>
    <col min="15882" max="15882" width="10.5703125" style="484" customWidth="1"/>
    <col min="15883" max="15883" width="10.7109375" style="484" customWidth="1"/>
    <col min="15884" max="15884" width="9.28515625" style="484" customWidth="1"/>
    <col min="15885" max="15885" width="9" style="484" customWidth="1"/>
    <col min="15886" max="15886" width="10.42578125" style="484" customWidth="1"/>
    <col min="15887" max="15887" width="8" style="484" customWidth="1"/>
    <col min="15888" max="15888" width="12.85546875" style="484" customWidth="1"/>
    <col min="15889" max="15889" width="6.7109375" style="484" customWidth="1"/>
    <col min="15890" max="15890" width="12.28515625" style="484" customWidth="1"/>
    <col min="15891" max="15891" width="6.85546875" style="484" customWidth="1"/>
    <col min="15892" max="15892" width="15.28515625" style="484" customWidth="1"/>
    <col min="15893" max="15893" width="9.42578125" style="484" customWidth="1"/>
    <col min="15894" max="15897" width="6.85546875" style="484" customWidth="1"/>
    <col min="15898" max="15898" width="7.5703125" style="484" customWidth="1"/>
    <col min="15899" max="15899" width="9.140625" style="484" customWidth="1"/>
    <col min="15900" max="15900" width="6.28515625" style="484" customWidth="1"/>
    <col min="15901" max="15902" width="30.85546875" style="484" customWidth="1"/>
    <col min="15903" max="16128" width="11.42578125" style="484"/>
    <col min="16129" max="16129" width="37.7109375" style="484" customWidth="1"/>
    <col min="16130" max="16130" width="8" style="484" customWidth="1"/>
    <col min="16131" max="16131" width="13.28515625" style="484" customWidth="1"/>
    <col min="16132" max="16132" width="7.42578125" style="484" customWidth="1"/>
    <col min="16133" max="16133" width="12.85546875" style="484" customWidth="1"/>
    <col min="16134" max="16134" width="10.85546875" style="484" customWidth="1"/>
    <col min="16135" max="16135" width="11.85546875" style="484" customWidth="1"/>
    <col min="16136" max="16136" width="22.85546875" style="484" customWidth="1"/>
    <col min="16137" max="16137" width="10.42578125" style="484" customWidth="1"/>
    <col min="16138" max="16138" width="10.5703125" style="484" customWidth="1"/>
    <col min="16139" max="16139" width="10.7109375" style="484" customWidth="1"/>
    <col min="16140" max="16140" width="9.28515625" style="484" customWidth="1"/>
    <col min="16141" max="16141" width="9" style="484" customWidth="1"/>
    <col min="16142" max="16142" width="10.42578125" style="484" customWidth="1"/>
    <col min="16143" max="16143" width="8" style="484" customWidth="1"/>
    <col min="16144" max="16144" width="12.85546875" style="484" customWidth="1"/>
    <col min="16145" max="16145" width="6.7109375" style="484" customWidth="1"/>
    <col min="16146" max="16146" width="12.28515625" style="484" customWidth="1"/>
    <col min="16147" max="16147" width="6.85546875" style="484" customWidth="1"/>
    <col min="16148" max="16148" width="15.28515625" style="484" customWidth="1"/>
    <col min="16149" max="16149" width="9.42578125" style="484" customWidth="1"/>
    <col min="16150" max="16153" width="6.85546875" style="484" customWidth="1"/>
    <col min="16154" max="16154" width="7.5703125" style="484" customWidth="1"/>
    <col min="16155" max="16155" width="9.140625" style="484" customWidth="1"/>
    <col min="16156" max="16156" width="6.28515625" style="484" customWidth="1"/>
    <col min="16157" max="16158" width="30.85546875" style="484" customWidth="1"/>
    <col min="16159" max="16384" width="11.42578125" style="484"/>
  </cols>
  <sheetData>
    <row r="1" spans="1:27" ht="13.5" thickBot="1" x14ac:dyDescent="0.25"/>
    <row r="2" spans="1:27" ht="21.75" thickBot="1" x14ac:dyDescent="0.25">
      <c r="A2" s="2219" t="s">
        <v>1168</v>
      </c>
      <c r="B2" s="2220"/>
      <c r="C2" s="2220"/>
      <c r="D2" s="2220"/>
      <c r="E2" s="2220"/>
      <c r="F2" s="2220"/>
      <c r="G2" s="2220"/>
      <c r="H2" s="2221"/>
      <c r="I2" s="2221"/>
      <c r="J2" s="2221"/>
      <c r="K2" s="2222"/>
    </row>
    <row r="3" spans="1:27" ht="18.75" x14ac:dyDescent="0.2">
      <c r="A3" s="2223" t="s">
        <v>1049</v>
      </c>
      <c r="B3" s="2225" t="s">
        <v>1040</v>
      </c>
      <c r="C3" s="2226"/>
      <c r="D3" s="2225" t="s">
        <v>1041</v>
      </c>
      <c r="E3" s="2226"/>
      <c r="F3" s="2227" t="s">
        <v>117</v>
      </c>
      <c r="G3" s="2228"/>
      <c r="H3" s="2229" t="s">
        <v>1169</v>
      </c>
      <c r="I3" s="822" t="s">
        <v>1040</v>
      </c>
      <c r="J3" s="822" t="s">
        <v>1041</v>
      </c>
      <c r="K3" s="822" t="s">
        <v>117</v>
      </c>
      <c r="L3" s="2230" t="s">
        <v>447</v>
      </c>
      <c r="M3" s="2217" t="s">
        <v>476</v>
      </c>
      <c r="N3" s="2217" t="s">
        <v>478</v>
      </c>
      <c r="O3" s="2232" t="s">
        <v>723</v>
      </c>
      <c r="P3" s="2217" t="s">
        <v>82</v>
      </c>
      <c r="Q3" s="2217" t="s">
        <v>86</v>
      </c>
      <c r="R3" s="2217" t="s">
        <v>83</v>
      </c>
      <c r="S3" s="2217" t="s">
        <v>80</v>
      </c>
      <c r="T3" s="2217" t="s">
        <v>84</v>
      </c>
      <c r="U3" s="2217" t="s">
        <v>85</v>
      </c>
      <c r="V3" s="2217" t="s">
        <v>185</v>
      </c>
      <c r="W3" s="2217" t="s">
        <v>87</v>
      </c>
      <c r="X3" s="2217" t="s">
        <v>475</v>
      </c>
      <c r="Y3" s="2217" t="s">
        <v>81</v>
      </c>
      <c r="Z3" s="2217" t="s">
        <v>474</v>
      </c>
      <c r="AA3" s="2234" t="s">
        <v>604</v>
      </c>
    </row>
    <row r="4" spans="1:27" ht="48.75" customHeight="1" thickBot="1" x14ac:dyDescent="0.25">
      <c r="A4" s="2224"/>
      <c r="B4" s="486" t="s">
        <v>58</v>
      </c>
      <c r="C4" s="487" t="s">
        <v>724</v>
      </c>
      <c r="D4" s="486" t="s">
        <v>58</v>
      </c>
      <c r="E4" s="487" t="s">
        <v>724</v>
      </c>
      <c r="F4" s="488" t="s">
        <v>58</v>
      </c>
      <c r="G4" s="489" t="s">
        <v>725</v>
      </c>
      <c r="H4" s="2229"/>
      <c r="I4" s="823" t="s">
        <v>726</v>
      </c>
      <c r="J4" s="823" t="s">
        <v>1170</v>
      </c>
      <c r="K4" s="823" t="s">
        <v>1170</v>
      </c>
      <c r="L4" s="2231"/>
      <c r="M4" s="2218"/>
      <c r="N4" s="2218"/>
      <c r="O4" s="2233"/>
      <c r="P4" s="2218"/>
      <c r="Q4" s="2218"/>
      <c r="R4" s="2218"/>
      <c r="S4" s="2218"/>
      <c r="T4" s="2218"/>
      <c r="U4" s="2218"/>
      <c r="V4" s="2218"/>
      <c r="W4" s="2218"/>
      <c r="X4" s="2218"/>
      <c r="Y4" s="2218"/>
      <c r="Z4" s="2218"/>
      <c r="AA4" s="2235"/>
    </row>
    <row r="5" spans="1:27" ht="20.25" customHeight="1" x14ac:dyDescent="0.2">
      <c r="A5" s="491" t="s">
        <v>526</v>
      </c>
      <c r="B5" s="492">
        <v>2</v>
      </c>
      <c r="C5" s="493">
        <v>1</v>
      </c>
      <c r="D5" s="492"/>
      <c r="E5" s="493">
        <v>3</v>
      </c>
      <c r="F5" s="494">
        <f t="shared" ref="F5:G20" si="0">B5+D5</f>
        <v>2</v>
      </c>
      <c r="G5" s="495">
        <f t="shared" si="0"/>
        <v>4</v>
      </c>
      <c r="H5" s="824" t="s">
        <v>527</v>
      </c>
      <c r="I5" s="291">
        <v>2</v>
      </c>
      <c r="J5" s="291"/>
      <c r="K5" s="291">
        <f t="shared" ref="K5:K10" si="1">SUM(I5:J5)</f>
        <v>2</v>
      </c>
      <c r="L5" s="497"/>
      <c r="M5" s="496"/>
      <c r="N5" s="496"/>
      <c r="O5" s="496"/>
      <c r="P5" s="496"/>
      <c r="Q5" s="496">
        <v>1</v>
      </c>
      <c r="R5" s="496"/>
      <c r="S5" s="496"/>
      <c r="T5" s="496">
        <v>1</v>
      </c>
      <c r="U5" s="496">
        <v>1</v>
      </c>
      <c r="V5" s="496"/>
      <c r="W5" s="496"/>
      <c r="X5" s="496"/>
      <c r="Y5" s="496"/>
      <c r="Z5" s="496"/>
      <c r="AA5" s="498"/>
    </row>
    <row r="6" spans="1:27" ht="21.75" customHeight="1" x14ac:dyDescent="0.2">
      <c r="A6" s="499" t="s">
        <v>498</v>
      </c>
      <c r="B6" s="288"/>
      <c r="C6" s="500"/>
      <c r="D6" s="288"/>
      <c r="E6" s="500"/>
      <c r="F6" s="501">
        <f t="shared" si="0"/>
        <v>0</v>
      </c>
      <c r="G6" s="502">
        <f t="shared" si="0"/>
        <v>0</v>
      </c>
      <c r="H6" s="824" t="s">
        <v>528</v>
      </c>
      <c r="I6" s="291">
        <v>2</v>
      </c>
      <c r="J6" s="291">
        <v>2</v>
      </c>
      <c r="K6" s="291">
        <f t="shared" si="1"/>
        <v>4</v>
      </c>
      <c r="L6" s="501"/>
      <c r="M6" s="291">
        <v>1</v>
      </c>
      <c r="N6" s="291"/>
      <c r="O6" s="291"/>
      <c r="P6" s="291"/>
      <c r="Q6" s="291">
        <v>2</v>
      </c>
      <c r="R6" s="291"/>
      <c r="S6" s="291"/>
      <c r="T6" s="291"/>
      <c r="U6" s="291"/>
      <c r="V6" s="291"/>
      <c r="W6" s="291"/>
      <c r="X6" s="291"/>
      <c r="Y6" s="291"/>
      <c r="Z6" s="291"/>
      <c r="AA6" s="500"/>
    </row>
    <row r="7" spans="1:27" ht="156" customHeight="1" x14ac:dyDescent="0.2">
      <c r="A7" s="503" t="s">
        <v>1244</v>
      </c>
      <c r="B7" s="288">
        <v>10</v>
      </c>
      <c r="C7" s="500">
        <f>4+2</f>
        <v>6</v>
      </c>
      <c r="D7" s="288">
        <v>8</v>
      </c>
      <c r="E7" s="500">
        <v>4</v>
      </c>
      <c r="F7" s="501">
        <f t="shared" si="0"/>
        <v>18</v>
      </c>
      <c r="G7" s="502">
        <f t="shared" si="0"/>
        <v>10</v>
      </c>
      <c r="H7" s="824" t="s">
        <v>529</v>
      </c>
      <c r="I7" s="291">
        <v>7</v>
      </c>
      <c r="J7" s="291">
        <v>7</v>
      </c>
      <c r="K7" s="291">
        <v>12</v>
      </c>
      <c r="L7" s="501">
        <v>6</v>
      </c>
      <c r="M7" s="291">
        <v>2</v>
      </c>
      <c r="N7" s="291"/>
      <c r="O7" s="291"/>
      <c r="P7" s="291">
        <v>1</v>
      </c>
      <c r="Q7" s="291"/>
      <c r="R7" s="291">
        <v>1</v>
      </c>
      <c r="S7" s="291">
        <v>2</v>
      </c>
      <c r="T7" s="291">
        <v>2</v>
      </c>
      <c r="U7" s="291"/>
      <c r="V7" s="291"/>
      <c r="W7" s="291"/>
      <c r="X7" s="291"/>
      <c r="Y7" s="291"/>
      <c r="Z7" s="291">
        <v>1</v>
      </c>
      <c r="AA7" s="500"/>
    </row>
    <row r="8" spans="1:27" ht="18.75" customHeight="1" x14ac:dyDescent="0.2">
      <c r="A8" s="499" t="s">
        <v>530</v>
      </c>
      <c r="B8" s="288">
        <v>0</v>
      </c>
      <c r="C8" s="500">
        <v>2</v>
      </c>
      <c r="D8" s="288">
        <v>1</v>
      </c>
      <c r="E8" s="500">
        <v>1</v>
      </c>
      <c r="F8" s="501">
        <f t="shared" si="0"/>
        <v>1</v>
      </c>
      <c r="G8" s="502">
        <f t="shared" si="0"/>
        <v>3</v>
      </c>
      <c r="H8" s="824" t="s">
        <v>531</v>
      </c>
      <c r="I8" s="291">
        <v>14</v>
      </c>
      <c r="J8" s="291">
        <v>11</v>
      </c>
      <c r="K8" s="291">
        <f t="shared" si="1"/>
        <v>25</v>
      </c>
      <c r="L8" s="501">
        <v>7</v>
      </c>
      <c r="M8" s="291"/>
      <c r="N8" s="291"/>
      <c r="O8" s="291"/>
      <c r="P8" s="291">
        <v>11</v>
      </c>
      <c r="Q8" s="291"/>
      <c r="R8" s="291"/>
      <c r="S8" s="291">
        <v>3</v>
      </c>
      <c r="T8" s="291"/>
      <c r="U8" s="291">
        <v>2</v>
      </c>
      <c r="V8" s="291"/>
      <c r="W8" s="291"/>
      <c r="X8" s="291"/>
      <c r="Y8" s="291"/>
      <c r="Z8" s="291">
        <v>2</v>
      </c>
      <c r="AA8" s="500"/>
    </row>
    <row r="9" spans="1:27" ht="92.25" customHeight="1" x14ac:dyDescent="0.2">
      <c r="A9" s="503" t="s">
        <v>1245</v>
      </c>
      <c r="B9" s="288">
        <v>0</v>
      </c>
      <c r="C9" s="500">
        <v>2</v>
      </c>
      <c r="D9" s="288">
        <v>3</v>
      </c>
      <c r="E9" s="500">
        <v>1</v>
      </c>
      <c r="F9" s="501">
        <f t="shared" si="0"/>
        <v>3</v>
      </c>
      <c r="G9" s="502">
        <f t="shared" si="0"/>
        <v>3</v>
      </c>
      <c r="H9" s="824" t="s">
        <v>532</v>
      </c>
      <c r="I9" s="291">
        <v>25</v>
      </c>
      <c r="J9" s="291">
        <v>22</v>
      </c>
      <c r="K9" s="291">
        <f t="shared" si="1"/>
        <v>47</v>
      </c>
      <c r="L9" s="501">
        <v>11</v>
      </c>
      <c r="M9" s="291"/>
      <c r="N9" s="291">
        <v>1</v>
      </c>
      <c r="O9" s="291"/>
      <c r="P9" s="291">
        <v>16</v>
      </c>
      <c r="Q9" s="291"/>
      <c r="R9" s="291">
        <v>1</v>
      </c>
      <c r="S9" s="291">
        <v>2</v>
      </c>
      <c r="T9" s="291"/>
      <c r="U9" s="291">
        <v>12</v>
      </c>
      <c r="V9" s="291"/>
      <c r="W9" s="291"/>
      <c r="X9" s="291"/>
      <c r="Y9" s="291">
        <v>1</v>
      </c>
      <c r="Z9" s="291">
        <v>1</v>
      </c>
      <c r="AA9" s="500"/>
    </row>
    <row r="10" spans="1:27" ht="13.5" thickBot="1" x14ac:dyDescent="0.25">
      <c r="A10" s="499" t="s">
        <v>524</v>
      </c>
      <c r="B10" s="288"/>
      <c r="C10" s="500"/>
      <c r="D10" s="288"/>
      <c r="E10" s="500">
        <v>1</v>
      </c>
      <c r="F10" s="501">
        <f t="shared" si="0"/>
        <v>0</v>
      </c>
      <c r="G10" s="502">
        <f t="shared" si="0"/>
        <v>1</v>
      </c>
      <c r="H10" s="824" t="s">
        <v>533</v>
      </c>
      <c r="I10" s="291">
        <v>10</v>
      </c>
      <c r="J10" s="291">
        <v>9</v>
      </c>
      <c r="K10" s="291">
        <f t="shared" si="1"/>
        <v>19</v>
      </c>
      <c r="L10" s="505">
        <v>3</v>
      </c>
      <c r="M10" s="287">
        <v>1</v>
      </c>
      <c r="N10" s="287"/>
      <c r="O10" s="287">
        <v>6</v>
      </c>
      <c r="P10" s="287">
        <v>4</v>
      </c>
      <c r="Q10" s="287"/>
      <c r="R10" s="287"/>
      <c r="S10" s="287">
        <v>2</v>
      </c>
      <c r="T10" s="287"/>
      <c r="U10" s="287"/>
      <c r="V10" s="287"/>
      <c r="W10" s="287"/>
      <c r="X10" s="287"/>
      <c r="Y10" s="287"/>
      <c r="Z10" s="287">
        <v>2</v>
      </c>
      <c r="AA10" s="506"/>
    </row>
    <row r="11" spans="1:27" ht="19.5" thickBot="1" x14ac:dyDescent="0.25">
      <c r="A11" s="499" t="s">
        <v>198</v>
      </c>
      <c r="B11" s="288">
        <v>19</v>
      </c>
      <c r="C11" s="500">
        <v>1</v>
      </c>
      <c r="D11" s="288">
        <v>9</v>
      </c>
      <c r="E11" s="500">
        <v>3</v>
      </c>
      <c r="F11" s="501">
        <f t="shared" si="0"/>
        <v>28</v>
      </c>
      <c r="G11" s="502">
        <f t="shared" si="0"/>
        <v>4</v>
      </c>
      <c r="I11" s="507">
        <f>SUM(I5:I10)</f>
        <v>60</v>
      </c>
      <c r="J11" s="507">
        <f>SUM(J5:J10)</f>
        <v>51</v>
      </c>
      <c r="K11" s="507">
        <f>I11+J11</f>
        <v>111</v>
      </c>
      <c r="L11" s="508"/>
      <c r="M11" s="508"/>
    </row>
    <row r="12" spans="1:27" ht="13.5" thickBot="1" x14ac:dyDescent="0.25">
      <c r="A12" s="499" t="s">
        <v>191</v>
      </c>
      <c r="B12" s="288"/>
      <c r="C12" s="500"/>
      <c r="D12" s="288"/>
      <c r="E12" s="500">
        <v>1</v>
      </c>
      <c r="F12" s="501">
        <f t="shared" si="0"/>
        <v>0</v>
      </c>
      <c r="G12" s="502">
        <f t="shared" si="0"/>
        <v>1</v>
      </c>
      <c r="I12" s="484"/>
      <c r="J12" s="484"/>
      <c r="L12" s="485"/>
      <c r="M12" s="485"/>
    </row>
    <row r="13" spans="1:27" ht="18.75" x14ac:dyDescent="0.2">
      <c r="A13" s="491" t="s">
        <v>189</v>
      </c>
      <c r="B13" s="492"/>
      <c r="C13" s="493"/>
      <c r="D13" s="288">
        <v>1</v>
      </c>
      <c r="E13" s="493">
        <v>1</v>
      </c>
      <c r="F13" s="494">
        <f t="shared" si="0"/>
        <v>1</v>
      </c>
      <c r="G13" s="495">
        <f t="shared" si="0"/>
        <v>1</v>
      </c>
      <c r="H13" s="2236" t="s">
        <v>89</v>
      </c>
      <c r="I13" s="2238" t="s">
        <v>1040</v>
      </c>
      <c r="J13" s="2238"/>
      <c r="K13" s="2239" t="s">
        <v>300</v>
      </c>
      <c r="L13" s="2236" t="s">
        <v>1041</v>
      </c>
      <c r="M13" s="2238"/>
      <c r="N13" s="2241" t="s">
        <v>300</v>
      </c>
      <c r="O13" s="2236">
        <v>2022</v>
      </c>
      <c r="P13" s="2238"/>
      <c r="Q13" s="2243" t="s">
        <v>300</v>
      </c>
    </row>
    <row r="14" spans="1:27" ht="18.75" customHeight="1" thickBot="1" x14ac:dyDescent="0.25">
      <c r="A14" s="491" t="s">
        <v>190</v>
      </c>
      <c r="B14" s="288">
        <v>0</v>
      </c>
      <c r="C14" s="500">
        <v>3</v>
      </c>
      <c r="D14" s="288"/>
      <c r="E14" s="500"/>
      <c r="F14" s="494">
        <f t="shared" si="0"/>
        <v>0</v>
      </c>
      <c r="G14" s="502">
        <f t="shared" si="0"/>
        <v>3</v>
      </c>
      <c r="H14" s="2237"/>
      <c r="I14" s="490" t="s">
        <v>1170</v>
      </c>
      <c r="J14" s="509" t="s">
        <v>727</v>
      </c>
      <c r="K14" s="2240"/>
      <c r="L14" s="510" t="s">
        <v>1170</v>
      </c>
      <c r="M14" s="509" t="s">
        <v>727</v>
      </c>
      <c r="N14" s="2242"/>
      <c r="O14" s="510" t="s">
        <v>1170</v>
      </c>
      <c r="P14" s="509" t="s">
        <v>727</v>
      </c>
      <c r="Q14" s="2244"/>
    </row>
    <row r="15" spans="1:27" ht="39.75" customHeight="1" x14ac:dyDescent="0.2">
      <c r="A15" s="491" t="s">
        <v>192</v>
      </c>
      <c r="B15" s="492">
        <v>2</v>
      </c>
      <c r="C15" s="493">
        <v>1</v>
      </c>
      <c r="D15" s="492"/>
      <c r="E15" s="493"/>
      <c r="F15" s="494">
        <f t="shared" si="0"/>
        <v>2</v>
      </c>
      <c r="G15" s="495">
        <f t="shared" si="0"/>
        <v>1</v>
      </c>
      <c r="H15" s="511" t="s">
        <v>409</v>
      </c>
      <c r="I15" s="496">
        <v>51</v>
      </c>
      <c r="J15" s="512">
        <f>I15/B23</f>
        <v>0.85</v>
      </c>
      <c r="K15" s="513">
        <v>0.08</v>
      </c>
      <c r="L15" s="514">
        <v>43</v>
      </c>
      <c r="M15" s="684">
        <f>L15/D23</f>
        <v>0.84313725490196079</v>
      </c>
      <c r="N15" s="515">
        <v>0.08</v>
      </c>
      <c r="O15" s="514">
        <f>I15+L15</f>
        <v>94</v>
      </c>
      <c r="P15" s="684">
        <f>O15/F23</f>
        <v>0.84684684684684686</v>
      </c>
      <c r="Q15" s="515">
        <v>0.08</v>
      </c>
    </row>
    <row r="16" spans="1:27" ht="15" x14ac:dyDescent="0.2">
      <c r="A16" s="499" t="s">
        <v>200</v>
      </c>
      <c r="B16" s="288"/>
      <c r="C16" s="500"/>
      <c r="D16" s="288"/>
      <c r="E16" s="500"/>
      <c r="F16" s="501">
        <f t="shared" si="0"/>
        <v>0</v>
      </c>
      <c r="G16" s="502">
        <f t="shared" si="0"/>
        <v>0</v>
      </c>
      <c r="H16" s="516" t="s">
        <v>265</v>
      </c>
      <c r="I16" s="291">
        <v>57</v>
      </c>
      <c r="J16" s="512">
        <f>I16/B23</f>
        <v>0.95</v>
      </c>
      <c r="K16" s="517">
        <v>0.06</v>
      </c>
      <c r="L16" s="288">
        <v>51</v>
      </c>
      <c r="M16" s="684">
        <f>L16/D23</f>
        <v>1</v>
      </c>
      <c r="N16" s="518">
        <v>0.06</v>
      </c>
      <c r="O16" s="514">
        <f>I16+L16</f>
        <v>108</v>
      </c>
      <c r="P16" s="684">
        <f>O16/F23</f>
        <v>0.97297297297297303</v>
      </c>
      <c r="Q16" s="518">
        <v>0.06</v>
      </c>
    </row>
    <row r="17" spans="1:20" ht="15" x14ac:dyDescent="0.2">
      <c r="A17" s="499" t="s">
        <v>536</v>
      </c>
      <c r="B17" s="288">
        <v>3</v>
      </c>
      <c r="C17" s="500">
        <v>3</v>
      </c>
      <c r="D17" s="288">
        <v>1</v>
      </c>
      <c r="E17" s="500">
        <v>2</v>
      </c>
      <c r="F17" s="501">
        <f t="shared" si="0"/>
        <v>4</v>
      </c>
      <c r="G17" s="502">
        <f t="shared" si="0"/>
        <v>5</v>
      </c>
      <c r="H17" s="516" t="s">
        <v>534</v>
      </c>
      <c r="I17" s="291">
        <v>3</v>
      </c>
      <c r="J17" s="522">
        <f>I17/B23</f>
        <v>0.05</v>
      </c>
      <c r="K17" s="520"/>
      <c r="L17" s="288">
        <v>0</v>
      </c>
      <c r="M17" s="684">
        <f>L17/D23</f>
        <v>0</v>
      </c>
      <c r="N17" s="521"/>
      <c r="O17" s="514">
        <f>I17+L17</f>
        <v>3</v>
      </c>
      <c r="P17" s="684">
        <f>O17/F23</f>
        <v>2.7027027027027029E-2</v>
      </c>
      <c r="Q17" s="521"/>
    </row>
    <row r="18" spans="1:20" ht="15" x14ac:dyDescent="0.2">
      <c r="A18" s="499" t="s">
        <v>193</v>
      </c>
      <c r="B18" s="288">
        <v>4</v>
      </c>
      <c r="C18" s="500">
        <v>1</v>
      </c>
      <c r="D18" s="288">
        <v>9</v>
      </c>
      <c r="E18" s="500">
        <v>2</v>
      </c>
      <c r="F18" s="501">
        <f t="shared" si="0"/>
        <v>13</v>
      </c>
      <c r="G18" s="502">
        <f t="shared" si="0"/>
        <v>3</v>
      </c>
      <c r="H18" s="516" t="s">
        <v>535</v>
      </c>
      <c r="I18" s="291">
        <v>0</v>
      </c>
      <c r="J18" s="519"/>
      <c r="K18" s="520"/>
      <c r="L18" s="288"/>
      <c r="M18" s="519"/>
      <c r="N18" s="521"/>
      <c r="O18" s="288"/>
      <c r="P18" s="519"/>
      <c r="Q18" s="521"/>
      <c r="T18" s="685"/>
    </row>
    <row r="19" spans="1:20" ht="25.5" customHeight="1" x14ac:dyDescent="0.2">
      <c r="A19" s="499" t="s">
        <v>435</v>
      </c>
      <c r="B19" s="288"/>
      <c r="C19" s="500"/>
      <c r="D19" s="288"/>
      <c r="E19" s="500"/>
      <c r="F19" s="501">
        <f t="shared" si="0"/>
        <v>0</v>
      </c>
      <c r="G19" s="502">
        <f t="shared" si="0"/>
        <v>0</v>
      </c>
      <c r="H19" s="516" t="s">
        <v>537</v>
      </c>
      <c r="I19" s="291">
        <v>3</v>
      </c>
      <c r="J19" s="522">
        <f>I19/(B22+C22)</f>
        <v>0.05</v>
      </c>
      <c r="K19" s="517">
        <v>0.08</v>
      </c>
      <c r="L19" s="288">
        <v>3</v>
      </c>
      <c r="M19" s="519">
        <f>L19/D23</f>
        <v>5.8823529411764705E-2</v>
      </c>
      <c r="N19" s="518">
        <v>0.08</v>
      </c>
      <c r="O19" s="514">
        <f>I19+L19</f>
        <v>6</v>
      </c>
      <c r="P19" s="519">
        <f>O19/F23</f>
        <v>5.4054054054054057E-2</v>
      </c>
      <c r="Q19" s="518">
        <v>0.08</v>
      </c>
    </row>
    <row r="20" spans="1:20" ht="26.25" thickBot="1" x14ac:dyDescent="0.25">
      <c r="A20" s="499" t="s">
        <v>539</v>
      </c>
      <c r="B20" s="288"/>
      <c r="C20" s="500"/>
      <c r="D20" s="288"/>
      <c r="E20" s="500"/>
      <c r="F20" s="501">
        <f t="shared" si="0"/>
        <v>0</v>
      </c>
      <c r="G20" s="502">
        <f t="shared" si="0"/>
        <v>0</v>
      </c>
      <c r="H20" s="523" t="s">
        <v>538</v>
      </c>
      <c r="I20" s="287">
        <v>0</v>
      </c>
      <c r="J20" s="524"/>
      <c r="K20" s="525"/>
      <c r="L20" s="526"/>
      <c r="M20" s="524"/>
      <c r="N20" s="504"/>
      <c r="O20" s="526">
        <f>I20+L20</f>
        <v>0</v>
      </c>
      <c r="P20" s="524"/>
      <c r="Q20" s="504"/>
    </row>
    <row r="21" spans="1:20" ht="13.5" thickBot="1" x14ac:dyDescent="0.25">
      <c r="A21" s="499"/>
      <c r="B21" s="288"/>
      <c r="C21" s="500"/>
      <c r="D21" s="288"/>
      <c r="E21" s="500"/>
      <c r="F21" s="501">
        <f>B21+D21</f>
        <v>0</v>
      </c>
      <c r="G21" s="502">
        <f>C21+E21</f>
        <v>0</v>
      </c>
      <c r="I21" s="527">
        <v>0</v>
      </c>
      <c r="J21" s="528" t="s">
        <v>636</v>
      </c>
      <c r="K21" s="529">
        <v>1</v>
      </c>
      <c r="L21" s="529">
        <v>0</v>
      </c>
      <c r="M21" s="528" t="s">
        <v>636</v>
      </c>
      <c r="N21" s="530">
        <v>1</v>
      </c>
      <c r="O21" s="529">
        <v>0</v>
      </c>
      <c r="P21" s="528" t="s">
        <v>636</v>
      </c>
      <c r="Q21" s="530">
        <v>1</v>
      </c>
    </row>
    <row r="22" spans="1:20" ht="19.5" thickBot="1" x14ac:dyDescent="0.25">
      <c r="A22" s="531" t="s">
        <v>1171</v>
      </c>
      <c r="B22" s="814">
        <f t="shared" ref="B22:G22" si="2">SUM(B5:B21)</f>
        <v>40</v>
      </c>
      <c r="C22" s="686">
        <f t="shared" si="2"/>
        <v>20</v>
      </c>
      <c r="D22" s="814">
        <f t="shared" si="2"/>
        <v>32</v>
      </c>
      <c r="E22" s="814">
        <f t="shared" si="2"/>
        <v>19</v>
      </c>
      <c r="F22" s="687">
        <f>SUM(F5:F21)</f>
        <v>72</v>
      </c>
      <c r="G22" s="687">
        <f t="shared" si="2"/>
        <v>39</v>
      </c>
    </row>
    <row r="23" spans="1:20" ht="24.75" customHeight="1" thickBot="1" x14ac:dyDescent="0.25">
      <c r="B23" s="2250">
        <f>B22+C22</f>
        <v>60</v>
      </c>
      <c r="C23" s="2251"/>
      <c r="D23" s="2250">
        <f>D22+E22</f>
        <v>51</v>
      </c>
      <c r="E23" s="2252"/>
      <c r="F23" s="2251">
        <f>F22+G22</f>
        <v>111</v>
      </c>
      <c r="G23" s="2252"/>
    </row>
    <row r="24" spans="1:20" ht="34.5" customHeight="1" thickBot="1" x14ac:dyDescent="0.3">
      <c r="A24" s="532" t="s">
        <v>1050</v>
      </c>
      <c r="B24" s="532" t="s">
        <v>117</v>
      </c>
      <c r="C24" s="532" t="s">
        <v>447</v>
      </c>
      <c r="D24" s="532" t="s">
        <v>86</v>
      </c>
      <c r="E24" s="532" t="s">
        <v>478</v>
      </c>
      <c r="F24" s="533" t="s">
        <v>525</v>
      </c>
      <c r="G24" s="534" t="s">
        <v>82</v>
      </c>
      <c r="H24" s="534" t="s">
        <v>448</v>
      </c>
      <c r="I24" s="534" t="s">
        <v>83</v>
      </c>
      <c r="J24" s="534" t="s">
        <v>80</v>
      </c>
      <c r="K24" s="534" t="s">
        <v>84</v>
      </c>
      <c r="L24" s="534" t="s">
        <v>85</v>
      </c>
      <c r="M24" s="534" t="s">
        <v>185</v>
      </c>
      <c r="N24" s="534" t="s">
        <v>87</v>
      </c>
      <c r="O24" s="534" t="s">
        <v>475</v>
      </c>
      <c r="P24" s="535" t="s">
        <v>81</v>
      </c>
      <c r="Q24" s="535" t="s">
        <v>474</v>
      </c>
      <c r="R24" s="536" t="s">
        <v>604</v>
      </c>
    </row>
    <row r="25" spans="1:20" x14ac:dyDescent="0.2">
      <c r="A25" s="318" t="s">
        <v>540</v>
      </c>
      <c r="B25" s="502">
        <f t="shared" ref="B25:B32" si="3">SUM(C25:R25)</f>
        <v>11</v>
      </c>
      <c r="C25" s="514">
        <v>7</v>
      </c>
      <c r="D25" s="514"/>
      <c r="E25" s="497"/>
      <c r="F25" s="496">
        <v>2</v>
      </c>
      <c r="G25" s="496">
        <v>1</v>
      </c>
      <c r="H25" s="496"/>
      <c r="I25" s="496"/>
      <c r="J25" s="496"/>
      <c r="K25" s="496">
        <v>1</v>
      </c>
      <c r="L25" s="496"/>
      <c r="M25" s="496"/>
      <c r="N25" s="496"/>
      <c r="O25" s="496"/>
      <c r="P25" s="498"/>
      <c r="Q25" s="498"/>
      <c r="R25" s="498"/>
    </row>
    <row r="26" spans="1:20" x14ac:dyDescent="0.2">
      <c r="A26" s="285" t="s">
        <v>541</v>
      </c>
      <c r="B26" s="502">
        <f t="shared" si="3"/>
        <v>31</v>
      </c>
      <c r="C26" s="288">
        <v>8</v>
      </c>
      <c r="D26" s="288"/>
      <c r="E26" s="501"/>
      <c r="F26" s="291"/>
      <c r="G26" s="291">
        <v>17</v>
      </c>
      <c r="H26" s="291">
        <v>1</v>
      </c>
      <c r="I26" s="291">
        <v>2</v>
      </c>
      <c r="J26" s="291">
        <v>2</v>
      </c>
      <c r="K26" s="291"/>
      <c r="L26" s="291"/>
      <c r="M26" s="291"/>
      <c r="N26" s="291"/>
      <c r="O26" s="291"/>
      <c r="P26" s="500"/>
      <c r="Q26" s="500">
        <v>1</v>
      </c>
      <c r="R26" s="500"/>
    </row>
    <row r="27" spans="1:20" x14ac:dyDescent="0.2">
      <c r="A27" s="285" t="s">
        <v>542</v>
      </c>
      <c r="B27" s="502">
        <f t="shared" si="3"/>
        <v>0</v>
      </c>
      <c r="C27" s="288"/>
      <c r="D27" s="288"/>
      <c r="E27" s="501"/>
      <c r="F27" s="291"/>
      <c r="G27" s="291" t="s">
        <v>1172</v>
      </c>
      <c r="H27" s="291"/>
      <c r="I27" s="291"/>
      <c r="J27" s="291"/>
      <c r="K27" s="291"/>
      <c r="L27" s="291"/>
      <c r="M27" s="291"/>
      <c r="N27" s="291"/>
      <c r="O27" s="291"/>
      <c r="P27" s="500"/>
      <c r="Q27" s="500"/>
      <c r="R27" s="500"/>
    </row>
    <row r="28" spans="1:20" x14ac:dyDescent="0.2">
      <c r="A28" s="285" t="s">
        <v>543</v>
      </c>
      <c r="B28" s="502">
        <f t="shared" si="3"/>
        <v>0</v>
      </c>
      <c r="C28" s="288"/>
      <c r="D28" s="288"/>
      <c r="E28" s="501"/>
      <c r="F28" s="291"/>
      <c r="G28" s="291"/>
      <c r="H28" s="291"/>
      <c r="I28" s="291"/>
      <c r="J28" s="291"/>
      <c r="K28" s="291"/>
      <c r="L28" s="291"/>
      <c r="M28" s="291"/>
      <c r="N28" s="291"/>
      <c r="O28" s="291"/>
      <c r="P28" s="500"/>
      <c r="Q28" s="500"/>
      <c r="R28" s="500"/>
    </row>
    <row r="29" spans="1:20" x14ac:dyDescent="0.2">
      <c r="A29" s="285" t="s">
        <v>544</v>
      </c>
      <c r="B29" s="502">
        <f t="shared" si="3"/>
        <v>3</v>
      </c>
      <c r="C29" s="288"/>
      <c r="D29" s="288"/>
      <c r="E29" s="501"/>
      <c r="F29" s="291"/>
      <c r="G29" s="291"/>
      <c r="H29" s="291"/>
      <c r="I29" s="291"/>
      <c r="J29" s="291">
        <v>2</v>
      </c>
      <c r="K29" s="291">
        <v>1</v>
      </c>
      <c r="L29" s="291"/>
      <c r="M29" s="291"/>
      <c r="N29" s="291"/>
      <c r="O29" s="291"/>
      <c r="P29" s="500"/>
      <c r="Q29" s="500"/>
      <c r="R29" s="500"/>
    </row>
    <row r="30" spans="1:20" x14ac:dyDescent="0.2">
      <c r="A30" s="285" t="s">
        <v>545</v>
      </c>
      <c r="B30" s="502">
        <f t="shared" si="3"/>
        <v>1</v>
      </c>
      <c r="C30" s="288"/>
      <c r="D30" s="288"/>
      <c r="E30" s="501"/>
      <c r="F30" s="291"/>
      <c r="G30" s="291"/>
      <c r="H30" s="291"/>
      <c r="I30" s="291"/>
      <c r="J30" s="291"/>
      <c r="K30" s="291">
        <v>1</v>
      </c>
      <c r="L30" s="291"/>
      <c r="M30" s="291"/>
      <c r="N30" s="291"/>
      <c r="O30" s="291"/>
      <c r="P30" s="500"/>
      <c r="Q30" s="500"/>
      <c r="R30" s="500"/>
    </row>
    <row r="31" spans="1:20" x14ac:dyDescent="0.2">
      <c r="A31" s="285" t="s">
        <v>546</v>
      </c>
      <c r="B31" s="502">
        <f t="shared" si="3"/>
        <v>21</v>
      </c>
      <c r="C31" s="288"/>
      <c r="D31" s="288"/>
      <c r="E31" s="501"/>
      <c r="F31" s="291"/>
      <c r="G31" s="291">
        <v>3</v>
      </c>
      <c r="H31" s="291"/>
      <c r="I31" s="291"/>
      <c r="J31" s="291"/>
      <c r="K31" s="291"/>
      <c r="L31" s="291">
        <v>16</v>
      </c>
      <c r="M31" s="291"/>
      <c r="N31" s="291"/>
      <c r="O31" s="291"/>
      <c r="P31" s="500"/>
      <c r="Q31" s="500">
        <v>2</v>
      </c>
      <c r="R31" s="500"/>
    </row>
    <row r="32" spans="1:20" ht="13.5" thickBot="1" x14ac:dyDescent="0.25">
      <c r="A32" s="286" t="s">
        <v>547</v>
      </c>
      <c r="B32" s="502">
        <f t="shared" si="3"/>
        <v>44</v>
      </c>
      <c r="C32" s="526">
        <v>13</v>
      </c>
      <c r="D32" s="526">
        <v>3</v>
      </c>
      <c r="E32" s="505">
        <v>1</v>
      </c>
      <c r="F32" s="287">
        <v>4</v>
      </c>
      <c r="G32" s="287">
        <v>11</v>
      </c>
      <c r="H32" s="287">
        <v>3</v>
      </c>
      <c r="I32" s="287"/>
      <c r="J32" s="287">
        <v>5</v>
      </c>
      <c r="K32" s="287"/>
      <c r="L32" s="287"/>
      <c r="M32" s="287"/>
      <c r="N32" s="287"/>
      <c r="O32" s="287"/>
      <c r="P32" s="506">
        <v>1</v>
      </c>
      <c r="Q32" s="506">
        <v>3</v>
      </c>
      <c r="R32" s="506"/>
    </row>
    <row r="33" spans="1:24" ht="16.5" thickBot="1" x14ac:dyDescent="0.25">
      <c r="A33" s="484" t="s">
        <v>595</v>
      </c>
      <c r="B33" s="688">
        <f>SUM(B25:B32)</f>
        <v>111</v>
      </c>
    </row>
    <row r="34" spans="1:24" ht="363.75" customHeight="1" x14ac:dyDescent="0.2">
      <c r="A34" s="2253" t="s">
        <v>1246</v>
      </c>
      <c r="B34" s="2254"/>
      <c r="C34" s="2254"/>
      <c r="D34" s="2254"/>
      <c r="E34" s="2254"/>
      <c r="F34" s="2254"/>
      <c r="G34" s="2254"/>
      <c r="H34" s="2254"/>
      <c r="I34" s="2254"/>
      <c r="J34" s="2254"/>
      <c r="K34" s="2254"/>
      <c r="L34" s="2254"/>
      <c r="M34" s="2254"/>
      <c r="N34" s="2254"/>
      <c r="O34" s="2254"/>
      <c r="P34" s="2254"/>
      <c r="Q34" s="2254"/>
      <c r="R34" s="2254"/>
      <c r="S34" s="2254"/>
      <c r="T34" s="2254"/>
      <c r="U34" s="2255"/>
      <c r="V34" s="484" t="s">
        <v>1051</v>
      </c>
    </row>
    <row r="35" spans="1:24" ht="407.25" customHeight="1" thickBot="1" x14ac:dyDescent="0.25">
      <c r="A35" s="2256" t="s">
        <v>1173</v>
      </c>
      <c r="B35" s="2257"/>
      <c r="C35" s="2257"/>
      <c r="D35" s="2257"/>
      <c r="E35" s="2257"/>
      <c r="F35" s="2257"/>
      <c r="G35" s="2257"/>
      <c r="H35" s="2257"/>
      <c r="I35" s="2257"/>
      <c r="J35" s="2257"/>
      <c r="K35" s="2257"/>
      <c r="L35" s="2257"/>
      <c r="M35" s="2257"/>
      <c r="N35" s="2257"/>
      <c r="O35" s="2257"/>
      <c r="P35" s="2257"/>
      <c r="Q35" s="2257"/>
      <c r="R35" s="2257"/>
      <c r="S35" s="2257"/>
      <c r="T35" s="2257"/>
      <c r="U35" s="2258"/>
    </row>
    <row r="36" spans="1:24" ht="256.5" customHeight="1" x14ac:dyDescent="0.2">
      <c r="A36" s="2259" t="s">
        <v>1174</v>
      </c>
      <c r="B36" s="2260"/>
      <c r="C36" s="2260"/>
      <c r="D36" s="2260"/>
      <c r="E36" s="2260"/>
      <c r="F36" s="2260"/>
      <c r="G36" s="2260"/>
      <c r="H36" s="2260"/>
      <c r="I36" s="2260"/>
      <c r="J36" s="2260"/>
      <c r="K36" s="2260"/>
      <c r="L36" s="2260"/>
      <c r="M36" s="2260"/>
      <c r="N36" s="2260"/>
      <c r="O36" s="2260"/>
      <c r="P36" s="2260"/>
      <c r="Q36" s="2260"/>
      <c r="R36" s="2260"/>
      <c r="S36" s="2260"/>
      <c r="T36" s="2260"/>
      <c r="U36" s="2261"/>
    </row>
    <row r="37" spans="1:24" ht="409.5" customHeight="1" x14ac:dyDescent="0.2">
      <c r="A37" s="2248" t="s">
        <v>1247</v>
      </c>
      <c r="B37" s="2249"/>
      <c r="C37" s="2249"/>
      <c r="D37" s="2249"/>
      <c r="E37" s="2249"/>
      <c r="F37" s="2249"/>
      <c r="G37" s="2249"/>
      <c r="H37" s="2249"/>
      <c r="I37" s="2249"/>
      <c r="J37" s="2249"/>
      <c r="K37" s="2249"/>
      <c r="L37" s="2249"/>
      <c r="M37" s="2249"/>
      <c r="N37" s="2249"/>
      <c r="O37" s="2249"/>
      <c r="P37" s="2249"/>
      <c r="Q37" s="2249"/>
      <c r="R37" s="2249"/>
      <c r="S37" s="2249"/>
      <c r="T37" s="2249"/>
      <c r="U37" s="2249"/>
      <c r="V37" s="1043"/>
      <c r="W37" s="1043"/>
      <c r="X37" s="1043"/>
    </row>
    <row r="38" spans="1:24" ht="409.5" customHeight="1" thickBot="1" x14ac:dyDescent="0.25">
      <c r="A38" s="2248" t="s">
        <v>1248</v>
      </c>
      <c r="B38" s="2249"/>
      <c r="C38" s="2249"/>
      <c r="D38" s="2249"/>
      <c r="E38" s="2249"/>
      <c r="F38" s="2249"/>
      <c r="G38" s="2249"/>
      <c r="H38" s="2249"/>
      <c r="I38" s="2249"/>
      <c r="J38" s="2249"/>
      <c r="K38" s="2249"/>
      <c r="L38" s="2249"/>
      <c r="M38" s="2249"/>
      <c r="N38" s="2249"/>
      <c r="O38" s="2249"/>
      <c r="P38" s="2249"/>
      <c r="Q38" s="2249"/>
      <c r="R38" s="2249"/>
      <c r="S38" s="2249"/>
      <c r="T38" s="2249"/>
      <c r="U38" s="2249"/>
    </row>
    <row r="39" spans="1:24" ht="409.5" customHeight="1" thickBot="1" x14ac:dyDescent="0.25">
      <c r="A39" s="2245" t="s">
        <v>1259</v>
      </c>
      <c r="B39" s="2246"/>
      <c r="C39" s="2246"/>
      <c r="D39" s="2246"/>
      <c r="E39" s="2246"/>
      <c r="F39" s="2246"/>
      <c r="G39" s="2246"/>
      <c r="H39" s="2246"/>
      <c r="I39" s="2246"/>
      <c r="J39" s="2246"/>
      <c r="K39" s="2246"/>
      <c r="L39" s="2246"/>
      <c r="M39" s="2246"/>
      <c r="N39" s="2246"/>
      <c r="O39" s="2246"/>
      <c r="P39" s="2246"/>
      <c r="Q39" s="2246"/>
      <c r="R39" s="2246"/>
      <c r="S39" s="2246"/>
      <c r="T39" s="2246"/>
      <c r="U39" s="2246"/>
      <c r="V39" s="2246"/>
      <c r="W39" s="2247"/>
    </row>
    <row r="40" spans="1:24" x14ac:dyDescent="0.2">
      <c r="C40" s="484"/>
      <c r="D40" s="484"/>
      <c r="E40" s="484"/>
      <c r="F40" s="484"/>
      <c r="G40" s="484"/>
    </row>
    <row r="41" spans="1:24" x14ac:dyDescent="0.2">
      <c r="C41" s="484"/>
      <c r="D41" s="484"/>
      <c r="E41" s="484"/>
      <c r="F41" s="484"/>
      <c r="G41" s="484"/>
    </row>
    <row r="55" spans="8:8" ht="25.5" x14ac:dyDescent="0.2">
      <c r="H55" s="825" t="s">
        <v>735</v>
      </c>
    </row>
  </sheetData>
  <mergeCells count="38">
    <mergeCell ref="A39:W39"/>
    <mergeCell ref="A38:U38"/>
    <mergeCell ref="A37:U37"/>
    <mergeCell ref="B23:C23"/>
    <mergeCell ref="D23:E23"/>
    <mergeCell ref="F23:G23"/>
    <mergeCell ref="A34:U34"/>
    <mergeCell ref="A35:U35"/>
    <mergeCell ref="A36:U36"/>
    <mergeCell ref="AA3:AA4"/>
    <mergeCell ref="H13:H14"/>
    <mergeCell ref="I13:J13"/>
    <mergeCell ref="K13:K14"/>
    <mergeCell ref="L13:M13"/>
    <mergeCell ref="N13:N14"/>
    <mergeCell ref="O13:P13"/>
    <mergeCell ref="Q13:Q14"/>
    <mergeCell ref="V3:V4"/>
    <mergeCell ref="W3:W4"/>
    <mergeCell ref="X3:X4"/>
    <mergeCell ref="Y3:Y4"/>
    <mergeCell ref="Z3:Z4"/>
    <mergeCell ref="Q3:Q4"/>
    <mergeCell ref="R3:R4"/>
    <mergeCell ref="S3:S4"/>
    <mergeCell ref="T3:T4"/>
    <mergeCell ref="U3:U4"/>
    <mergeCell ref="A2:K2"/>
    <mergeCell ref="A3:A4"/>
    <mergeCell ref="B3:C3"/>
    <mergeCell ref="D3:E3"/>
    <mergeCell ref="F3:G3"/>
    <mergeCell ref="H3:H4"/>
    <mergeCell ref="L3:L4"/>
    <mergeCell ref="M3:M4"/>
    <mergeCell ref="N3:N4"/>
    <mergeCell ref="O3:O4"/>
    <mergeCell ref="P3:P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K43"/>
  <sheetViews>
    <sheetView view="pageBreakPreview" topLeftCell="A34" zoomScaleSheetLayoutView="100" workbookViewId="0">
      <selection activeCell="AC37" sqref="AC37"/>
    </sheetView>
  </sheetViews>
  <sheetFormatPr baseColWidth="10" defaultColWidth="12.5703125" defaultRowHeight="18.75" x14ac:dyDescent="0.3"/>
  <cols>
    <col min="1" max="1" width="24.85546875" style="391" customWidth="1"/>
    <col min="2" max="2" width="41.42578125" style="153" customWidth="1"/>
    <col min="3" max="3" width="13.85546875" style="146" hidden="1" customWidth="1"/>
    <col min="4" max="5" width="11.85546875" style="146" hidden="1" customWidth="1"/>
    <col min="6" max="6" width="12.5703125" style="146" hidden="1" customWidth="1"/>
    <col min="7" max="7" width="11.85546875" style="146" hidden="1" customWidth="1"/>
    <col min="8" max="8" width="13.5703125" style="146" hidden="1" customWidth="1"/>
    <col min="9" max="9" width="11.85546875" style="146" hidden="1" customWidth="1"/>
    <col min="10" max="10" width="17.5703125" style="146" hidden="1" customWidth="1"/>
    <col min="11" max="11" width="12.85546875" style="146" hidden="1" customWidth="1"/>
    <col min="12" max="12" width="12.140625" style="146" hidden="1" customWidth="1"/>
    <col min="13" max="13" width="11.42578125" style="146" hidden="1" customWidth="1"/>
    <col min="14" max="14" width="9.140625" style="146" hidden="1" customWidth="1"/>
    <col min="15" max="15" width="24.7109375" style="146" hidden="1" customWidth="1"/>
    <col min="16" max="16" width="13.85546875" style="146" hidden="1" customWidth="1"/>
    <col min="17" max="18" width="13.28515625" style="146" hidden="1" customWidth="1"/>
    <col min="19" max="19" width="15" style="146" hidden="1" customWidth="1"/>
    <col min="20" max="20" width="0.140625" style="146" customWidth="1"/>
    <col min="21" max="21" width="12.140625" style="146" hidden="1" customWidth="1"/>
    <col min="22" max="22" width="11.7109375" style="146" hidden="1" customWidth="1"/>
    <col min="23" max="26" width="15.42578125" style="146" hidden="1" customWidth="1"/>
    <col min="27" max="30" width="15.42578125" style="146" customWidth="1"/>
    <col min="31" max="31" width="17" style="154" customWidth="1"/>
    <col min="32" max="32" width="15.7109375" style="146" customWidth="1"/>
    <col min="33" max="33" width="8.85546875" style="168" customWidth="1"/>
    <col min="34" max="34" width="13.140625" style="146" customWidth="1"/>
    <col min="35" max="35" width="49.28515625" style="146" customWidth="1"/>
    <col min="36" max="36" width="28.85546875" style="146" customWidth="1"/>
    <col min="37" max="40" width="30.140625" style="146" customWidth="1"/>
    <col min="41" max="46" width="12.5703125" style="146" customWidth="1"/>
    <col min="47" max="47" width="12.85546875" style="146" customWidth="1"/>
    <col min="48" max="275" width="12.5703125" style="146"/>
    <col min="276" max="276" width="37.28515625" style="146" customWidth="1"/>
    <col min="277" max="277" width="35.85546875" style="146" customWidth="1"/>
    <col min="278" max="283" width="0" style="146" hidden="1" customWidth="1"/>
    <col min="284" max="284" width="11.85546875" style="146" customWidth="1"/>
    <col min="285" max="286" width="17.5703125" style="146" customWidth="1"/>
    <col min="287" max="287" width="16.28515625" style="146" customWidth="1"/>
    <col min="288" max="288" width="18.5703125" style="146" customWidth="1"/>
    <col min="289" max="289" width="12.5703125" style="146" customWidth="1"/>
    <col min="290" max="291" width="49.28515625" style="146" customWidth="1"/>
    <col min="292" max="292" width="28.85546875" style="146" customWidth="1"/>
    <col min="293" max="296" width="30.140625" style="146" customWidth="1"/>
    <col min="297" max="302" width="12.5703125" style="146" customWidth="1"/>
    <col min="303" max="303" width="12.85546875" style="146" customWidth="1"/>
    <col min="304" max="531" width="12.5703125" style="146"/>
    <col min="532" max="532" width="37.28515625" style="146" customWidth="1"/>
    <col min="533" max="533" width="35.85546875" style="146" customWidth="1"/>
    <col min="534" max="539" width="0" style="146" hidden="1" customWidth="1"/>
    <col min="540" max="540" width="11.85546875" style="146" customWidth="1"/>
    <col min="541" max="542" width="17.5703125" style="146" customWidth="1"/>
    <col min="543" max="543" width="16.28515625" style="146" customWidth="1"/>
    <col min="544" max="544" width="18.5703125" style="146" customWidth="1"/>
    <col min="545" max="545" width="12.5703125" style="146" customWidth="1"/>
    <col min="546" max="547" width="49.28515625" style="146" customWidth="1"/>
    <col min="548" max="548" width="28.85546875" style="146" customWidth="1"/>
    <col min="549" max="552" width="30.140625" style="146" customWidth="1"/>
    <col min="553" max="558" width="12.5703125" style="146" customWidth="1"/>
    <col min="559" max="559" width="12.85546875" style="146" customWidth="1"/>
    <col min="560" max="787" width="12.5703125" style="146"/>
    <col min="788" max="788" width="37.28515625" style="146" customWidth="1"/>
    <col min="789" max="789" width="35.85546875" style="146" customWidth="1"/>
    <col min="790" max="795" width="0" style="146" hidden="1" customWidth="1"/>
    <col min="796" max="796" width="11.85546875" style="146" customWidth="1"/>
    <col min="797" max="798" width="17.5703125" style="146" customWidth="1"/>
    <col min="799" max="799" width="16.28515625" style="146" customWidth="1"/>
    <col min="800" max="800" width="18.5703125" style="146" customWidth="1"/>
    <col min="801" max="801" width="12.5703125" style="146" customWidth="1"/>
    <col min="802" max="803" width="49.28515625" style="146" customWidth="1"/>
    <col min="804" max="804" width="28.85546875" style="146" customWidth="1"/>
    <col min="805" max="808" width="30.140625" style="146" customWidth="1"/>
    <col min="809" max="814" width="12.5703125" style="146" customWidth="1"/>
    <col min="815" max="815" width="12.85546875" style="146" customWidth="1"/>
    <col min="816" max="1043" width="12.5703125" style="146"/>
    <col min="1044" max="1044" width="37.28515625" style="146" customWidth="1"/>
    <col min="1045" max="1045" width="35.85546875" style="146" customWidth="1"/>
    <col min="1046" max="1051" width="0" style="146" hidden="1" customWidth="1"/>
    <col min="1052" max="1052" width="11.85546875" style="146" customWidth="1"/>
    <col min="1053" max="1054" width="17.5703125" style="146" customWidth="1"/>
    <col min="1055" max="1055" width="16.28515625" style="146" customWidth="1"/>
    <col min="1056" max="1056" width="18.5703125" style="146" customWidth="1"/>
    <col min="1057" max="1057" width="12.5703125" style="146" customWidth="1"/>
    <col min="1058" max="1059" width="49.28515625" style="146" customWidth="1"/>
    <col min="1060" max="1060" width="28.85546875" style="146" customWidth="1"/>
    <col min="1061" max="1064" width="30.140625" style="146" customWidth="1"/>
    <col min="1065" max="1070" width="12.5703125" style="146" customWidth="1"/>
    <col min="1071" max="1071" width="12.85546875" style="146" customWidth="1"/>
    <col min="1072" max="1299" width="12.5703125" style="146"/>
    <col min="1300" max="1300" width="37.28515625" style="146" customWidth="1"/>
    <col min="1301" max="1301" width="35.85546875" style="146" customWidth="1"/>
    <col min="1302" max="1307" width="0" style="146" hidden="1" customWidth="1"/>
    <col min="1308" max="1308" width="11.85546875" style="146" customWidth="1"/>
    <col min="1309" max="1310" width="17.5703125" style="146" customWidth="1"/>
    <col min="1311" max="1311" width="16.28515625" style="146" customWidth="1"/>
    <col min="1312" max="1312" width="18.5703125" style="146" customWidth="1"/>
    <col min="1313" max="1313" width="12.5703125" style="146" customWidth="1"/>
    <col min="1314" max="1315" width="49.28515625" style="146" customWidth="1"/>
    <col min="1316" max="1316" width="28.85546875" style="146" customWidth="1"/>
    <col min="1317" max="1320" width="30.140625" style="146" customWidth="1"/>
    <col min="1321" max="1326" width="12.5703125" style="146" customWidth="1"/>
    <col min="1327" max="1327" width="12.85546875" style="146" customWidth="1"/>
    <col min="1328" max="1555" width="12.5703125" style="146"/>
    <col min="1556" max="1556" width="37.28515625" style="146" customWidth="1"/>
    <col min="1557" max="1557" width="35.85546875" style="146" customWidth="1"/>
    <col min="1558" max="1563" width="0" style="146" hidden="1" customWidth="1"/>
    <col min="1564" max="1564" width="11.85546875" style="146" customWidth="1"/>
    <col min="1565" max="1566" width="17.5703125" style="146" customWidth="1"/>
    <col min="1567" max="1567" width="16.28515625" style="146" customWidth="1"/>
    <col min="1568" max="1568" width="18.5703125" style="146" customWidth="1"/>
    <col min="1569" max="1569" width="12.5703125" style="146" customWidth="1"/>
    <col min="1570" max="1571" width="49.28515625" style="146" customWidth="1"/>
    <col min="1572" max="1572" width="28.85546875" style="146" customWidth="1"/>
    <col min="1573" max="1576" width="30.140625" style="146" customWidth="1"/>
    <col min="1577" max="1582" width="12.5703125" style="146" customWidth="1"/>
    <col min="1583" max="1583" width="12.85546875" style="146" customWidth="1"/>
    <col min="1584" max="1811" width="12.5703125" style="146"/>
    <col min="1812" max="1812" width="37.28515625" style="146" customWidth="1"/>
    <col min="1813" max="1813" width="35.85546875" style="146" customWidth="1"/>
    <col min="1814" max="1819" width="0" style="146" hidden="1" customWidth="1"/>
    <col min="1820" max="1820" width="11.85546875" style="146" customWidth="1"/>
    <col min="1821" max="1822" width="17.5703125" style="146" customWidth="1"/>
    <col min="1823" max="1823" width="16.28515625" style="146" customWidth="1"/>
    <col min="1824" max="1824" width="18.5703125" style="146" customWidth="1"/>
    <col min="1825" max="1825" width="12.5703125" style="146" customWidth="1"/>
    <col min="1826" max="1827" width="49.28515625" style="146" customWidth="1"/>
    <col min="1828" max="1828" width="28.85546875" style="146" customWidth="1"/>
    <col min="1829" max="1832" width="30.140625" style="146" customWidth="1"/>
    <col min="1833" max="1838" width="12.5703125" style="146" customWidth="1"/>
    <col min="1839" max="1839" width="12.85546875" style="146" customWidth="1"/>
    <col min="1840" max="2067" width="12.5703125" style="146"/>
    <col min="2068" max="2068" width="37.28515625" style="146" customWidth="1"/>
    <col min="2069" max="2069" width="35.85546875" style="146" customWidth="1"/>
    <col min="2070" max="2075" width="0" style="146" hidden="1" customWidth="1"/>
    <col min="2076" max="2076" width="11.85546875" style="146" customWidth="1"/>
    <col min="2077" max="2078" width="17.5703125" style="146" customWidth="1"/>
    <col min="2079" max="2079" width="16.28515625" style="146" customWidth="1"/>
    <col min="2080" max="2080" width="18.5703125" style="146" customWidth="1"/>
    <col min="2081" max="2081" width="12.5703125" style="146" customWidth="1"/>
    <col min="2082" max="2083" width="49.28515625" style="146" customWidth="1"/>
    <col min="2084" max="2084" width="28.85546875" style="146" customWidth="1"/>
    <col min="2085" max="2088" width="30.140625" style="146" customWidth="1"/>
    <col min="2089" max="2094" width="12.5703125" style="146" customWidth="1"/>
    <col min="2095" max="2095" width="12.85546875" style="146" customWidth="1"/>
    <col min="2096" max="2323" width="12.5703125" style="146"/>
    <col min="2324" max="2324" width="37.28515625" style="146" customWidth="1"/>
    <col min="2325" max="2325" width="35.85546875" style="146" customWidth="1"/>
    <col min="2326" max="2331" width="0" style="146" hidden="1" customWidth="1"/>
    <col min="2332" max="2332" width="11.85546875" style="146" customWidth="1"/>
    <col min="2333" max="2334" width="17.5703125" style="146" customWidth="1"/>
    <col min="2335" max="2335" width="16.28515625" style="146" customWidth="1"/>
    <col min="2336" max="2336" width="18.5703125" style="146" customWidth="1"/>
    <col min="2337" max="2337" width="12.5703125" style="146" customWidth="1"/>
    <col min="2338" max="2339" width="49.28515625" style="146" customWidth="1"/>
    <col min="2340" max="2340" width="28.85546875" style="146" customWidth="1"/>
    <col min="2341" max="2344" width="30.140625" style="146" customWidth="1"/>
    <col min="2345" max="2350" width="12.5703125" style="146" customWidth="1"/>
    <col min="2351" max="2351" width="12.85546875" style="146" customWidth="1"/>
    <col min="2352" max="2579" width="12.5703125" style="146"/>
    <col min="2580" max="2580" width="37.28515625" style="146" customWidth="1"/>
    <col min="2581" max="2581" width="35.85546875" style="146" customWidth="1"/>
    <col min="2582" max="2587" width="0" style="146" hidden="1" customWidth="1"/>
    <col min="2588" max="2588" width="11.85546875" style="146" customWidth="1"/>
    <col min="2589" max="2590" width="17.5703125" style="146" customWidth="1"/>
    <col min="2591" max="2591" width="16.28515625" style="146" customWidth="1"/>
    <col min="2592" max="2592" width="18.5703125" style="146" customWidth="1"/>
    <col min="2593" max="2593" width="12.5703125" style="146" customWidth="1"/>
    <col min="2594" max="2595" width="49.28515625" style="146" customWidth="1"/>
    <col min="2596" max="2596" width="28.85546875" style="146" customWidth="1"/>
    <col min="2597" max="2600" width="30.140625" style="146" customWidth="1"/>
    <col min="2601" max="2606" width="12.5703125" style="146" customWidth="1"/>
    <col min="2607" max="2607" width="12.85546875" style="146" customWidth="1"/>
    <col min="2608" max="2835" width="12.5703125" style="146"/>
    <col min="2836" max="2836" width="37.28515625" style="146" customWidth="1"/>
    <col min="2837" max="2837" width="35.85546875" style="146" customWidth="1"/>
    <col min="2838" max="2843" width="0" style="146" hidden="1" customWidth="1"/>
    <col min="2844" max="2844" width="11.85546875" style="146" customWidth="1"/>
    <col min="2845" max="2846" width="17.5703125" style="146" customWidth="1"/>
    <col min="2847" max="2847" width="16.28515625" style="146" customWidth="1"/>
    <col min="2848" max="2848" width="18.5703125" style="146" customWidth="1"/>
    <col min="2849" max="2849" width="12.5703125" style="146" customWidth="1"/>
    <col min="2850" max="2851" width="49.28515625" style="146" customWidth="1"/>
    <col min="2852" max="2852" width="28.85546875" style="146" customWidth="1"/>
    <col min="2853" max="2856" width="30.140625" style="146" customWidth="1"/>
    <col min="2857" max="2862" width="12.5703125" style="146" customWidth="1"/>
    <col min="2863" max="2863" width="12.85546875" style="146" customWidth="1"/>
    <col min="2864" max="3091" width="12.5703125" style="146"/>
    <col min="3092" max="3092" width="37.28515625" style="146" customWidth="1"/>
    <col min="3093" max="3093" width="35.85546875" style="146" customWidth="1"/>
    <col min="3094" max="3099" width="0" style="146" hidden="1" customWidth="1"/>
    <col min="3100" max="3100" width="11.85546875" style="146" customWidth="1"/>
    <col min="3101" max="3102" width="17.5703125" style="146" customWidth="1"/>
    <col min="3103" max="3103" width="16.28515625" style="146" customWidth="1"/>
    <col min="3104" max="3104" width="18.5703125" style="146" customWidth="1"/>
    <col min="3105" max="3105" width="12.5703125" style="146" customWidth="1"/>
    <col min="3106" max="3107" width="49.28515625" style="146" customWidth="1"/>
    <col min="3108" max="3108" width="28.85546875" style="146" customWidth="1"/>
    <col min="3109" max="3112" width="30.140625" style="146" customWidth="1"/>
    <col min="3113" max="3118" width="12.5703125" style="146" customWidth="1"/>
    <col min="3119" max="3119" width="12.85546875" style="146" customWidth="1"/>
    <col min="3120" max="3347" width="12.5703125" style="146"/>
    <col min="3348" max="3348" width="37.28515625" style="146" customWidth="1"/>
    <col min="3349" max="3349" width="35.85546875" style="146" customWidth="1"/>
    <col min="3350" max="3355" width="0" style="146" hidden="1" customWidth="1"/>
    <col min="3356" max="3356" width="11.85546875" style="146" customWidth="1"/>
    <col min="3357" max="3358" width="17.5703125" style="146" customWidth="1"/>
    <col min="3359" max="3359" width="16.28515625" style="146" customWidth="1"/>
    <col min="3360" max="3360" width="18.5703125" style="146" customWidth="1"/>
    <col min="3361" max="3361" width="12.5703125" style="146" customWidth="1"/>
    <col min="3362" max="3363" width="49.28515625" style="146" customWidth="1"/>
    <col min="3364" max="3364" width="28.85546875" style="146" customWidth="1"/>
    <col min="3365" max="3368" width="30.140625" style="146" customWidth="1"/>
    <col min="3369" max="3374" width="12.5703125" style="146" customWidth="1"/>
    <col min="3375" max="3375" width="12.85546875" style="146" customWidth="1"/>
    <col min="3376" max="3603" width="12.5703125" style="146"/>
    <col min="3604" max="3604" width="37.28515625" style="146" customWidth="1"/>
    <col min="3605" max="3605" width="35.85546875" style="146" customWidth="1"/>
    <col min="3606" max="3611" width="0" style="146" hidden="1" customWidth="1"/>
    <col min="3612" max="3612" width="11.85546875" style="146" customWidth="1"/>
    <col min="3613" max="3614" width="17.5703125" style="146" customWidth="1"/>
    <col min="3615" max="3615" width="16.28515625" style="146" customWidth="1"/>
    <col min="3616" max="3616" width="18.5703125" style="146" customWidth="1"/>
    <col min="3617" max="3617" width="12.5703125" style="146" customWidth="1"/>
    <col min="3618" max="3619" width="49.28515625" style="146" customWidth="1"/>
    <col min="3620" max="3620" width="28.85546875" style="146" customWidth="1"/>
    <col min="3621" max="3624" width="30.140625" style="146" customWidth="1"/>
    <col min="3625" max="3630" width="12.5703125" style="146" customWidth="1"/>
    <col min="3631" max="3631" width="12.85546875" style="146" customWidth="1"/>
    <col min="3632" max="3859" width="12.5703125" style="146"/>
    <col min="3860" max="3860" width="37.28515625" style="146" customWidth="1"/>
    <col min="3861" max="3861" width="35.85546875" style="146" customWidth="1"/>
    <col min="3862" max="3867" width="0" style="146" hidden="1" customWidth="1"/>
    <col min="3868" max="3868" width="11.85546875" style="146" customWidth="1"/>
    <col min="3869" max="3870" width="17.5703125" style="146" customWidth="1"/>
    <col min="3871" max="3871" width="16.28515625" style="146" customWidth="1"/>
    <col min="3872" max="3872" width="18.5703125" style="146" customWidth="1"/>
    <col min="3873" max="3873" width="12.5703125" style="146" customWidth="1"/>
    <col min="3874" max="3875" width="49.28515625" style="146" customWidth="1"/>
    <col min="3876" max="3876" width="28.85546875" style="146" customWidth="1"/>
    <col min="3877" max="3880" width="30.140625" style="146" customWidth="1"/>
    <col min="3881" max="3886" width="12.5703125" style="146" customWidth="1"/>
    <col min="3887" max="3887" width="12.85546875" style="146" customWidth="1"/>
    <col min="3888" max="4115" width="12.5703125" style="146"/>
    <col min="4116" max="4116" width="37.28515625" style="146" customWidth="1"/>
    <col min="4117" max="4117" width="35.85546875" style="146" customWidth="1"/>
    <col min="4118" max="4123" width="0" style="146" hidden="1" customWidth="1"/>
    <col min="4124" max="4124" width="11.85546875" style="146" customWidth="1"/>
    <col min="4125" max="4126" width="17.5703125" style="146" customWidth="1"/>
    <col min="4127" max="4127" width="16.28515625" style="146" customWidth="1"/>
    <col min="4128" max="4128" width="18.5703125" style="146" customWidth="1"/>
    <col min="4129" max="4129" width="12.5703125" style="146" customWidth="1"/>
    <col min="4130" max="4131" width="49.28515625" style="146" customWidth="1"/>
    <col min="4132" max="4132" width="28.85546875" style="146" customWidth="1"/>
    <col min="4133" max="4136" width="30.140625" style="146" customWidth="1"/>
    <col min="4137" max="4142" width="12.5703125" style="146" customWidth="1"/>
    <col min="4143" max="4143" width="12.85546875" style="146" customWidth="1"/>
    <col min="4144" max="4371" width="12.5703125" style="146"/>
    <col min="4372" max="4372" width="37.28515625" style="146" customWidth="1"/>
    <col min="4373" max="4373" width="35.85546875" style="146" customWidth="1"/>
    <col min="4374" max="4379" width="0" style="146" hidden="1" customWidth="1"/>
    <col min="4380" max="4380" width="11.85546875" style="146" customWidth="1"/>
    <col min="4381" max="4382" width="17.5703125" style="146" customWidth="1"/>
    <col min="4383" max="4383" width="16.28515625" style="146" customWidth="1"/>
    <col min="4384" max="4384" width="18.5703125" style="146" customWidth="1"/>
    <col min="4385" max="4385" width="12.5703125" style="146" customWidth="1"/>
    <col min="4386" max="4387" width="49.28515625" style="146" customWidth="1"/>
    <col min="4388" max="4388" width="28.85546875" style="146" customWidth="1"/>
    <col min="4389" max="4392" width="30.140625" style="146" customWidth="1"/>
    <col min="4393" max="4398" width="12.5703125" style="146" customWidth="1"/>
    <col min="4399" max="4399" width="12.85546875" style="146" customWidth="1"/>
    <col min="4400" max="4627" width="12.5703125" style="146"/>
    <col min="4628" max="4628" width="37.28515625" style="146" customWidth="1"/>
    <col min="4629" max="4629" width="35.85546875" style="146" customWidth="1"/>
    <col min="4630" max="4635" width="0" style="146" hidden="1" customWidth="1"/>
    <col min="4636" max="4636" width="11.85546875" style="146" customWidth="1"/>
    <col min="4637" max="4638" width="17.5703125" style="146" customWidth="1"/>
    <col min="4639" max="4639" width="16.28515625" style="146" customWidth="1"/>
    <col min="4640" max="4640" width="18.5703125" style="146" customWidth="1"/>
    <col min="4641" max="4641" width="12.5703125" style="146" customWidth="1"/>
    <col min="4642" max="4643" width="49.28515625" style="146" customWidth="1"/>
    <col min="4644" max="4644" width="28.85546875" style="146" customWidth="1"/>
    <col min="4645" max="4648" width="30.140625" style="146" customWidth="1"/>
    <col min="4649" max="4654" width="12.5703125" style="146" customWidth="1"/>
    <col min="4655" max="4655" width="12.85546875" style="146" customWidth="1"/>
    <col min="4656" max="4883" width="12.5703125" style="146"/>
    <col min="4884" max="4884" width="37.28515625" style="146" customWidth="1"/>
    <col min="4885" max="4885" width="35.85546875" style="146" customWidth="1"/>
    <col min="4886" max="4891" width="0" style="146" hidden="1" customWidth="1"/>
    <col min="4892" max="4892" width="11.85546875" style="146" customWidth="1"/>
    <col min="4893" max="4894" width="17.5703125" style="146" customWidth="1"/>
    <col min="4895" max="4895" width="16.28515625" style="146" customWidth="1"/>
    <col min="4896" max="4896" width="18.5703125" style="146" customWidth="1"/>
    <col min="4897" max="4897" width="12.5703125" style="146" customWidth="1"/>
    <col min="4898" max="4899" width="49.28515625" style="146" customWidth="1"/>
    <col min="4900" max="4900" width="28.85546875" style="146" customWidth="1"/>
    <col min="4901" max="4904" width="30.140625" style="146" customWidth="1"/>
    <col min="4905" max="4910" width="12.5703125" style="146" customWidth="1"/>
    <col min="4911" max="4911" width="12.85546875" style="146" customWidth="1"/>
    <col min="4912" max="5139" width="12.5703125" style="146"/>
    <col min="5140" max="5140" width="37.28515625" style="146" customWidth="1"/>
    <col min="5141" max="5141" width="35.85546875" style="146" customWidth="1"/>
    <col min="5142" max="5147" width="0" style="146" hidden="1" customWidth="1"/>
    <col min="5148" max="5148" width="11.85546875" style="146" customWidth="1"/>
    <col min="5149" max="5150" width="17.5703125" style="146" customWidth="1"/>
    <col min="5151" max="5151" width="16.28515625" style="146" customWidth="1"/>
    <col min="5152" max="5152" width="18.5703125" style="146" customWidth="1"/>
    <col min="5153" max="5153" width="12.5703125" style="146" customWidth="1"/>
    <col min="5154" max="5155" width="49.28515625" style="146" customWidth="1"/>
    <col min="5156" max="5156" width="28.85546875" style="146" customWidth="1"/>
    <col min="5157" max="5160" width="30.140625" style="146" customWidth="1"/>
    <col min="5161" max="5166" width="12.5703125" style="146" customWidth="1"/>
    <col min="5167" max="5167" width="12.85546875" style="146" customWidth="1"/>
    <col min="5168" max="5395" width="12.5703125" style="146"/>
    <col min="5396" max="5396" width="37.28515625" style="146" customWidth="1"/>
    <col min="5397" max="5397" width="35.85546875" style="146" customWidth="1"/>
    <col min="5398" max="5403" width="0" style="146" hidden="1" customWidth="1"/>
    <col min="5404" max="5404" width="11.85546875" style="146" customWidth="1"/>
    <col min="5405" max="5406" width="17.5703125" style="146" customWidth="1"/>
    <col min="5407" max="5407" width="16.28515625" style="146" customWidth="1"/>
    <col min="5408" max="5408" width="18.5703125" style="146" customWidth="1"/>
    <col min="5409" max="5409" width="12.5703125" style="146" customWidth="1"/>
    <col min="5410" max="5411" width="49.28515625" style="146" customWidth="1"/>
    <col min="5412" max="5412" width="28.85546875" style="146" customWidth="1"/>
    <col min="5413" max="5416" width="30.140625" style="146" customWidth="1"/>
    <col min="5417" max="5422" width="12.5703125" style="146" customWidth="1"/>
    <col min="5423" max="5423" width="12.85546875" style="146" customWidth="1"/>
    <col min="5424" max="5651" width="12.5703125" style="146"/>
    <col min="5652" max="5652" width="37.28515625" style="146" customWidth="1"/>
    <col min="5653" max="5653" width="35.85546875" style="146" customWidth="1"/>
    <col min="5654" max="5659" width="0" style="146" hidden="1" customWidth="1"/>
    <col min="5660" max="5660" width="11.85546875" style="146" customWidth="1"/>
    <col min="5661" max="5662" width="17.5703125" style="146" customWidth="1"/>
    <col min="5663" max="5663" width="16.28515625" style="146" customWidth="1"/>
    <col min="5664" max="5664" width="18.5703125" style="146" customWidth="1"/>
    <col min="5665" max="5665" width="12.5703125" style="146" customWidth="1"/>
    <col min="5666" max="5667" width="49.28515625" style="146" customWidth="1"/>
    <col min="5668" max="5668" width="28.85546875" style="146" customWidth="1"/>
    <col min="5669" max="5672" width="30.140625" style="146" customWidth="1"/>
    <col min="5673" max="5678" width="12.5703125" style="146" customWidth="1"/>
    <col min="5679" max="5679" width="12.85546875" style="146" customWidth="1"/>
    <col min="5680" max="5907" width="12.5703125" style="146"/>
    <col min="5908" max="5908" width="37.28515625" style="146" customWidth="1"/>
    <col min="5909" max="5909" width="35.85546875" style="146" customWidth="1"/>
    <col min="5910" max="5915" width="0" style="146" hidden="1" customWidth="1"/>
    <col min="5916" max="5916" width="11.85546875" style="146" customWidth="1"/>
    <col min="5917" max="5918" width="17.5703125" style="146" customWidth="1"/>
    <col min="5919" max="5919" width="16.28515625" style="146" customWidth="1"/>
    <col min="5920" max="5920" width="18.5703125" style="146" customWidth="1"/>
    <col min="5921" max="5921" width="12.5703125" style="146" customWidth="1"/>
    <col min="5922" max="5923" width="49.28515625" style="146" customWidth="1"/>
    <col min="5924" max="5924" width="28.85546875" style="146" customWidth="1"/>
    <col min="5925" max="5928" width="30.140625" style="146" customWidth="1"/>
    <col min="5929" max="5934" width="12.5703125" style="146" customWidth="1"/>
    <col min="5935" max="5935" width="12.85546875" style="146" customWidth="1"/>
    <col min="5936" max="6163" width="12.5703125" style="146"/>
    <col min="6164" max="6164" width="37.28515625" style="146" customWidth="1"/>
    <col min="6165" max="6165" width="35.85546875" style="146" customWidth="1"/>
    <col min="6166" max="6171" width="0" style="146" hidden="1" customWidth="1"/>
    <col min="6172" max="6172" width="11.85546875" style="146" customWidth="1"/>
    <col min="6173" max="6174" width="17.5703125" style="146" customWidth="1"/>
    <col min="6175" max="6175" width="16.28515625" style="146" customWidth="1"/>
    <col min="6176" max="6176" width="18.5703125" style="146" customWidth="1"/>
    <col min="6177" max="6177" width="12.5703125" style="146" customWidth="1"/>
    <col min="6178" max="6179" width="49.28515625" style="146" customWidth="1"/>
    <col min="6180" max="6180" width="28.85546875" style="146" customWidth="1"/>
    <col min="6181" max="6184" width="30.140625" style="146" customWidth="1"/>
    <col min="6185" max="6190" width="12.5703125" style="146" customWidth="1"/>
    <col min="6191" max="6191" width="12.85546875" style="146" customWidth="1"/>
    <col min="6192" max="6419" width="12.5703125" style="146"/>
    <col min="6420" max="6420" width="37.28515625" style="146" customWidth="1"/>
    <col min="6421" max="6421" width="35.85546875" style="146" customWidth="1"/>
    <col min="6422" max="6427" width="0" style="146" hidden="1" customWidth="1"/>
    <col min="6428" max="6428" width="11.85546875" style="146" customWidth="1"/>
    <col min="6429" max="6430" width="17.5703125" style="146" customWidth="1"/>
    <col min="6431" max="6431" width="16.28515625" style="146" customWidth="1"/>
    <col min="6432" max="6432" width="18.5703125" style="146" customWidth="1"/>
    <col min="6433" max="6433" width="12.5703125" style="146" customWidth="1"/>
    <col min="6434" max="6435" width="49.28515625" style="146" customWidth="1"/>
    <col min="6436" max="6436" width="28.85546875" style="146" customWidth="1"/>
    <col min="6437" max="6440" width="30.140625" style="146" customWidth="1"/>
    <col min="6441" max="6446" width="12.5703125" style="146" customWidth="1"/>
    <col min="6447" max="6447" width="12.85546875" style="146" customWidth="1"/>
    <col min="6448" max="6675" width="12.5703125" style="146"/>
    <col min="6676" max="6676" width="37.28515625" style="146" customWidth="1"/>
    <col min="6677" max="6677" width="35.85546875" style="146" customWidth="1"/>
    <col min="6678" max="6683" width="0" style="146" hidden="1" customWidth="1"/>
    <col min="6684" max="6684" width="11.85546875" style="146" customWidth="1"/>
    <col min="6685" max="6686" width="17.5703125" style="146" customWidth="1"/>
    <col min="6687" max="6687" width="16.28515625" style="146" customWidth="1"/>
    <col min="6688" max="6688" width="18.5703125" style="146" customWidth="1"/>
    <col min="6689" max="6689" width="12.5703125" style="146" customWidth="1"/>
    <col min="6690" max="6691" width="49.28515625" style="146" customWidth="1"/>
    <col min="6692" max="6692" width="28.85546875" style="146" customWidth="1"/>
    <col min="6693" max="6696" width="30.140625" style="146" customWidth="1"/>
    <col min="6697" max="6702" width="12.5703125" style="146" customWidth="1"/>
    <col min="6703" max="6703" width="12.85546875" style="146" customWidth="1"/>
    <col min="6704" max="6931" width="12.5703125" style="146"/>
    <col min="6932" max="6932" width="37.28515625" style="146" customWidth="1"/>
    <col min="6933" max="6933" width="35.85546875" style="146" customWidth="1"/>
    <col min="6934" max="6939" width="0" style="146" hidden="1" customWidth="1"/>
    <col min="6940" max="6940" width="11.85546875" style="146" customWidth="1"/>
    <col min="6941" max="6942" width="17.5703125" style="146" customWidth="1"/>
    <col min="6943" max="6943" width="16.28515625" style="146" customWidth="1"/>
    <col min="6944" max="6944" width="18.5703125" style="146" customWidth="1"/>
    <col min="6945" max="6945" width="12.5703125" style="146" customWidth="1"/>
    <col min="6946" max="6947" width="49.28515625" style="146" customWidth="1"/>
    <col min="6948" max="6948" width="28.85546875" style="146" customWidth="1"/>
    <col min="6949" max="6952" width="30.140625" style="146" customWidth="1"/>
    <col min="6953" max="6958" width="12.5703125" style="146" customWidth="1"/>
    <col min="6959" max="6959" width="12.85546875" style="146" customWidth="1"/>
    <col min="6960" max="7187" width="12.5703125" style="146"/>
    <col min="7188" max="7188" width="37.28515625" style="146" customWidth="1"/>
    <col min="7189" max="7189" width="35.85546875" style="146" customWidth="1"/>
    <col min="7190" max="7195" width="0" style="146" hidden="1" customWidth="1"/>
    <col min="7196" max="7196" width="11.85546875" style="146" customWidth="1"/>
    <col min="7197" max="7198" width="17.5703125" style="146" customWidth="1"/>
    <col min="7199" max="7199" width="16.28515625" style="146" customWidth="1"/>
    <col min="7200" max="7200" width="18.5703125" style="146" customWidth="1"/>
    <col min="7201" max="7201" width="12.5703125" style="146" customWidth="1"/>
    <col min="7202" max="7203" width="49.28515625" style="146" customWidth="1"/>
    <col min="7204" max="7204" width="28.85546875" style="146" customWidth="1"/>
    <col min="7205" max="7208" width="30.140625" style="146" customWidth="1"/>
    <col min="7209" max="7214" width="12.5703125" style="146" customWidth="1"/>
    <col min="7215" max="7215" width="12.85546875" style="146" customWidth="1"/>
    <col min="7216" max="7443" width="12.5703125" style="146"/>
    <col min="7444" max="7444" width="37.28515625" style="146" customWidth="1"/>
    <col min="7445" max="7445" width="35.85546875" style="146" customWidth="1"/>
    <col min="7446" max="7451" width="0" style="146" hidden="1" customWidth="1"/>
    <col min="7452" max="7452" width="11.85546875" style="146" customWidth="1"/>
    <col min="7453" max="7454" width="17.5703125" style="146" customWidth="1"/>
    <col min="7455" max="7455" width="16.28515625" style="146" customWidth="1"/>
    <col min="7456" max="7456" width="18.5703125" style="146" customWidth="1"/>
    <col min="7457" max="7457" width="12.5703125" style="146" customWidth="1"/>
    <col min="7458" max="7459" width="49.28515625" style="146" customWidth="1"/>
    <col min="7460" max="7460" width="28.85546875" style="146" customWidth="1"/>
    <col min="7461" max="7464" width="30.140625" style="146" customWidth="1"/>
    <col min="7465" max="7470" width="12.5703125" style="146" customWidth="1"/>
    <col min="7471" max="7471" width="12.85546875" style="146" customWidth="1"/>
    <col min="7472" max="7699" width="12.5703125" style="146"/>
    <col min="7700" max="7700" width="37.28515625" style="146" customWidth="1"/>
    <col min="7701" max="7701" width="35.85546875" style="146" customWidth="1"/>
    <col min="7702" max="7707" width="0" style="146" hidden="1" customWidth="1"/>
    <col min="7708" max="7708" width="11.85546875" style="146" customWidth="1"/>
    <col min="7709" max="7710" width="17.5703125" style="146" customWidth="1"/>
    <col min="7711" max="7711" width="16.28515625" style="146" customWidth="1"/>
    <col min="7712" max="7712" width="18.5703125" style="146" customWidth="1"/>
    <col min="7713" max="7713" width="12.5703125" style="146" customWidth="1"/>
    <col min="7714" max="7715" width="49.28515625" style="146" customWidth="1"/>
    <col min="7716" max="7716" width="28.85546875" style="146" customWidth="1"/>
    <col min="7717" max="7720" width="30.140625" style="146" customWidth="1"/>
    <col min="7721" max="7726" width="12.5703125" style="146" customWidth="1"/>
    <col min="7727" max="7727" width="12.85546875" style="146" customWidth="1"/>
    <col min="7728" max="7955" width="12.5703125" style="146"/>
    <col min="7956" max="7956" width="37.28515625" style="146" customWidth="1"/>
    <col min="7957" max="7957" width="35.85546875" style="146" customWidth="1"/>
    <col min="7958" max="7963" width="0" style="146" hidden="1" customWidth="1"/>
    <col min="7964" max="7964" width="11.85546875" style="146" customWidth="1"/>
    <col min="7965" max="7966" width="17.5703125" style="146" customWidth="1"/>
    <col min="7967" max="7967" width="16.28515625" style="146" customWidth="1"/>
    <col min="7968" max="7968" width="18.5703125" style="146" customWidth="1"/>
    <col min="7969" max="7969" width="12.5703125" style="146" customWidth="1"/>
    <col min="7970" max="7971" width="49.28515625" style="146" customWidth="1"/>
    <col min="7972" max="7972" width="28.85546875" style="146" customWidth="1"/>
    <col min="7973" max="7976" width="30.140625" style="146" customWidth="1"/>
    <col min="7977" max="7982" width="12.5703125" style="146" customWidth="1"/>
    <col min="7983" max="7983" width="12.85546875" style="146" customWidth="1"/>
    <col min="7984" max="8211" width="12.5703125" style="146"/>
    <col min="8212" max="8212" width="37.28515625" style="146" customWidth="1"/>
    <col min="8213" max="8213" width="35.85546875" style="146" customWidth="1"/>
    <col min="8214" max="8219" width="0" style="146" hidden="1" customWidth="1"/>
    <col min="8220" max="8220" width="11.85546875" style="146" customWidth="1"/>
    <col min="8221" max="8222" width="17.5703125" style="146" customWidth="1"/>
    <col min="8223" max="8223" width="16.28515625" style="146" customWidth="1"/>
    <col min="8224" max="8224" width="18.5703125" style="146" customWidth="1"/>
    <col min="8225" max="8225" width="12.5703125" style="146" customWidth="1"/>
    <col min="8226" max="8227" width="49.28515625" style="146" customWidth="1"/>
    <col min="8228" max="8228" width="28.85546875" style="146" customWidth="1"/>
    <col min="8229" max="8232" width="30.140625" style="146" customWidth="1"/>
    <col min="8233" max="8238" width="12.5703125" style="146" customWidth="1"/>
    <col min="8239" max="8239" width="12.85546875" style="146" customWidth="1"/>
    <col min="8240" max="8467" width="12.5703125" style="146"/>
    <col min="8468" max="8468" width="37.28515625" style="146" customWidth="1"/>
    <col min="8469" max="8469" width="35.85546875" style="146" customWidth="1"/>
    <col min="8470" max="8475" width="0" style="146" hidden="1" customWidth="1"/>
    <col min="8476" max="8476" width="11.85546875" style="146" customWidth="1"/>
    <col min="8477" max="8478" width="17.5703125" style="146" customWidth="1"/>
    <col min="8479" max="8479" width="16.28515625" style="146" customWidth="1"/>
    <col min="8480" max="8480" width="18.5703125" style="146" customWidth="1"/>
    <col min="8481" max="8481" width="12.5703125" style="146" customWidth="1"/>
    <col min="8482" max="8483" width="49.28515625" style="146" customWidth="1"/>
    <col min="8484" max="8484" width="28.85546875" style="146" customWidth="1"/>
    <col min="8485" max="8488" width="30.140625" style="146" customWidth="1"/>
    <col min="8489" max="8494" width="12.5703125" style="146" customWidth="1"/>
    <col min="8495" max="8495" width="12.85546875" style="146" customWidth="1"/>
    <col min="8496" max="8723" width="12.5703125" style="146"/>
    <col min="8724" max="8724" width="37.28515625" style="146" customWidth="1"/>
    <col min="8725" max="8725" width="35.85546875" style="146" customWidth="1"/>
    <col min="8726" max="8731" width="0" style="146" hidden="1" customWidth="1"/>
    <col min="8732" max="8732" width="11.85546875" style="146" customWidth="1"/>
    <col min="8733" max="8734" width="17.5703125" style="146" customWidth="1"/>
    <col min="8735" max="8735" width="16.28515625" style="146" customWidth="1"/>
    <col min="8736" max="8736" width="18.5703125" style="146" customWidth="1"/>
    <col min="8737" max="8737" width="12.5703125" style="146" customWidth="1"/>
    <col min="8738" max="8739" width="49.28515625" style="146" customWidth="1"/>
    <col min="8740" max="8740" width="28.85546875" style="146" customWidth="1"/>
    <col min="8741" max="8744" width="30.140625" style="146" customWidth="1"/>
    <col min="8745" max="8750" width="12.5703125" style="146" customWidth="1"/>
    <col min="8751" max="8751" width="12.85546875" style="146" customWidth="1"/>
    <col min="8752" max="8979" width="12.5703125" style="146"/>
    <col min="8980" max="8980" width="37.28515625" style="146" customWidth="1"/>
    <col min="8981" max="8981" width="35.85546875" style="146" customWidth="1"/>
    <col min="8982" max="8987" width="0" style="146" hidden="1" customWidth="1"/>
    <col min="8988" max="8988" width="11.85546875" style="146" customWidth="1"/>
    <col min="8989" max="8990" width="17.5703125" style="146" customWidth="1"/>
    <col min="8991" max="8991" width="16.28515625" style="146" customWidth="1"/>
    <col min="8992" max="8992" width="18.5703125" style="146" customWidth="1"/>
    <col min="8993" max="8993" width="12.5703125" style="146" customWidth="1"/>
    <col min="8994" max="8995" width="49.28515625" style="146" customWidth="1"/>
    <col min="8996" max="8996" width="28.85546875" style="146" customWidth="1"/>
    <col min="8997" max="9000" width="30.140625" style="146" customWidth="1"/>
    <col min="9001" max="9006" width="12.5703125" style="146" customWidth="1"/>
    <col min="9007" max="9007" width="12.85546875" style="146" customWidth="1"/>
    <col min="9008" max="9235" width="12.5703125" style="146"/>
    <col min="9236" max="9236" width="37.28515625" style="146" customWidth="1"/>
    <col min="9237" max="9237" width="35.85546875" style="146" customWidth="1"/>
    <col min="9238" max="9243" width="0" style="146" hidden="1" customWidth="1"/>
    <col min="9244" max="9244" width="11.85546875" style="146" customWidth="1"/>
    <col min="9245" max="9246" width="17.5703125" style="146" customWidth="1"/>
    <col min="9247" max="9247" width="16.28515625" style="146" customWidth="1"/>
    <col min="9248" max="9248" width="18.5703125" style="146" customWidth="1"/>
    <col min="9249" max="9249" width="12.5703125" style="146" customWidth="1"/>
    <col min="9250" max="9251" width="49.28515625" style="146" customWidth="1"/>
    <col min="9252" max="9252" width="28.85546875" style="146" customWidth="1"/>
    <col min="9253" max="9256" width="30.140625" style="146" customWidth="1"/>
    <col min="9257" max="9262" width="12.5703125" style="146" customWidth="1"/>
    <col min="9263" max="9263" width="12.85546875" style="146" customWidth="1"/>
    <col min="9264" max="9491" width="12.5703125" style="146"/>
    <col min="9492" max="9492" width="37.28515625" style="146" customWidth="1"/>
    <col min="9493" max="9493" width="35.85546875" style="146" customWidth="1"/>
    <col min="9494" max="9499" width="0" style="146" hidden="1" customWidth="1"/>
    <col min="9500" max="9500" width="11.85546875" style="146" customWidth="1"/>
    <col min="9501" max="9502" width="17.5703125" style="146" customWidth="1"/>
    <col min="9503" max="9503" width="16.28515625" style="146" customWidth="1"/>
    <col min="9504" max="9504" width="18.5703125" style="146" customWidth="1"/>
    <col min="9505" max="9505" width="12.5703125" style="146" customWidth="1"/>
    <col min="9506" max="9507" width="49.28515625" style="146" customWidth="1"/>
    <col min="9508" max="9508" width="28.85546875" style="146" customWidth="1"/>
    <col min="9509" max="9512" width="30.140625" style="146" customWidth="1"/>
    <col min="9513" max="9518" width="12.5703125" style="146" customWidth="1"/>
    <col min="9519" max="9519" width="12.85546875" style="146" customWidth="1"/>
    <col min="9520" max="9747" width="12.5703125" style="146"/>
    <col min="9748" max="9748" width="37.28515625" style="146" customWidth="1"/>
    <col min="9749" max="9749" width="35.85546875" style="146" customWidth="1"/>
    <col min="9750" max="9755" width="0" style="146" hidden="1" customWidth="1"/>
    <col min="9756" max="9756" width="11.85546875" style="146" customWidth="1"/>
    <col min="9757" max="9758" width="17.5703125" style="146" customWidth="1"/>
    <col min="9759" max="9759" width="16.28515625" style="146" customWidth="1"/>
    <col min="9760" max="9760" width="18.5703125" style="146" customWidth="1"/>
    <col min="9761" max="9761" width="12.5703125" style="146" customWidth="1"/>
    <col min="9762" max="9763" width="49.28515625" style="146" customWidth="1"/>
    <col min="9764" max="9764" width="28.85546875" style="146" customWidth="1"/>
    <col min="9765" max="9768" width="30.140625" style="146" customWidth="1"/>
    <col min="9769" max="9774" width="12.5703125" style="146" customWidth="1"/>
    <col min="9775" max="9775" width="12.85546875" style="146" customWidth="1"/>
    <col min="9776" max="10003" width="12.5703125" style="146"/>
    <col min="10004" max="10004" width="37.28515625" style="146" customWidth="1"/>
    <col min="10005" max="10005" width="35.85546875" style="146" customWidth="1"/>
    <col min="10006" max="10011" width="0" style="146" hidden="1" customWidth="1"/>
    <col min="10012" max="10012" width="11.85546875" style="146" customWidth="1"/>
    <col min="10013" max="10014" width="17.5703125" style="146" customWidth="1"/>
    <col min="10015" max="10015" width="16.28515625" style="146" customWidth="1"/>
    <col min="10016" max="10016" width="18.5703125" style="146" customWidth="1"/>
    <col min="10017" max="10017" width="12.5703125" style="146" customWidth="1"/>
    <col min="10018" max="10019" width="49.28515625" style="146" customWidth="1"/>
    <col min="10020" max="10020" width="28.85546875" style="146" customWidth="1"/>
    <col min="10021" max="10024" width="30.140625" style="146" customWidth="1"/>
    <col min="10025" max="10030" width="12.5703125" style="146" customWidth="1"/>
    <col min="10031" max="10031" width="12.85546875" style="146" customWidth="1"/>
    <col min="10032" max="10259" width="12.5703125" style="146"/>
    <col min="10260" max="10260" width="37.28515625" style="146" customWidth="1"/>
    <col min="10261" max="10261" width="35.85546875" style="146" customWidth="1"/>
    <col min="10262" max="10267" width="0" style="146" hidden="1" customWidth="1"/>
    <col min="10268" max="10268" width="11.85546875" style="146" customWidth="1"/>
    <col min="10269" max="10270" width="17.5703125" style="146" customWidth="1"/>
    <col min="10271" max="10271" width="16.28515625" style="146" customWidth="1"/>
    <col min="10272" max="10272" width="18.5703125" style="146" customWidth="1"/>
    <col min="10273" max="10273" width="12.5703125" style="146" customWidth="1"/>
    <col min="10274" max="10275" width="49.28515625" style="146" customWidth="1"/>
    <col min="10276" max="10276" width="28.85546875" style="146" customWidth="1"/>
    <col min="10277" max="10280" width="30.140625" style="146" customWidth="1"/>
    <col min="10281" max="10286" width="12.5703125" style="146" customWidth="1"/>
    <col min="10287" max="10287" width="12.85546875" style="146" customWidth="1"/>
    <col min="10288" max="10515" width="12.5703125" style="146"/>
    <col min="10516" max="10516" width="37.28515625" style="146" customWidth="1"/>
    <col min="10517" max="10517" width="35.85546875" style="146" customWidth="1"/>
    <col min="10518" max="10523" width="0" style="146" hidden="1" customWidth="1"/>
    <col min="10524" max="10524" width="11.85546875" style="146" customWidth="1"/>
    <col min="10525" max="10526" width="17.5703125" style="146" customWidth="1"/>
    <col min="10527" max="10527" width="16.28515625" style="146" customWidth="1"/>
    <col min="10528" max="10528" width="18.5703125" style="146" customWidth="1"/>
    <col min="10529" max="10529" width="12.5703125" style="146" customWidth="1"/>
    <col min="10530" max="10531" width="49.28515625" style="146" customWidth="1"/>
    <col min="10532" max="10532" width="28.85546875" style="146" customWidth="1"/>
    <col min="10533" max="10536" width="30.140625" style="146" customWidth="1"/>
    <col min="10537" max="10542" width="12.5703125" style="146" customWidth="1"/>
    <col min="10543" max="10543" width="12.85546875" style="146" customWidth="1"/>
    <col min="10544" max="10771" width="12.5703125" style="146"/>
    <col min="10772" max="10772" width="37.28515625" style="146" customWidth="1"/>
    <col min="10773" max="10773" width="35.85546875" style="146" customWidth="1"/>
    <col min="10774" max="10779" width="0" style="146" hidden="1" customWidth="1"/>
    <col min="10780" max="10780" width="11.85546875" style="146" customWidth="1"/>
    <col min="10781" max="10782" width="17.5703125" style="146" customWidth="1"/>
    <col min="10783" max="10783" width="16.28515625" style="146" customWidth="1"/>
    <col min="10784" max="10784" width="18.5703125" style="146" customWidth="1"/>
    <col min="10785" max="10785" width="12.5703125" style="146" customWidth="1"/>
    <col min="10786" max="10787" width="49.28515625" style="146" customWidth="1"/>
    <col min="10788" max="10788" width="28.85546875" style="146" customWidth="1"/>
    <col min="10789" max="10792" width="30.140625" style="146" customWidth="1"/>
    <col min="10793" max="10798" width="12.5703125" style="146" customWidth="1"/>
    <col min="10799" max="10799" width="12.85546875" style="146" customWidth="1"/>
    <col min="10800" max="11027" width="12.5703125" style="146"/>
    <col min="11028" max="11028" width="37.28515625" style="146" customWidth="1"/>
    <col min="11029" max="11029" width="35.85546875" style="146" customWidth="1"/>
    <col min="11030" max="11035" width="0" style="146" hidden="1" customWidth="1"/>
    <col min="11036" max="11036" width="11.85546875" style="146" customWidth="1"/>
    <col min="11037" max="11038" width="17.5703125" style="146" customWidth="1"/>
    <col min="11039" max="11039" width="16.28515625" style="146" customWidth="1"/>
    <col min="11040" max="11040" width="18.5703125" style="146" customWidth="1"/>
    <col min="11041" max="11041" width="12.5703125" style="146" customWidth="1"/>
    <col min="11042" max="11043" width="49.28515625" style="146" customWidth="1"/>
    <col min="11044" max="11044" width="28.85546875" style="146" customWidth="1"/>
    <col min="11045" max="11048" width="30.140625" style="146" customWidth="1"/>
    <col min="11049" max="11054" width="12.5703125" style="146" customWidth="1"/>
    <col min="11055" max="11055" width="12.85546875" style="146" customWidth="1"/>
    <col min="11056" max="11283" width="12.5703125" style="146"/>
    <col min="11284" max="11284" width="37.28515625" style="146" customWidth="1"/>
    <col min="11285" max="11285" width="35.85546875" style="146" customWidth="1"/>
    <col min="11286" max="11291" width="0" style="146" hidden="1" customWidth="1"/>
    <col min="11292" max="11292" width="11.85546875" style="146" customWidth="1"/>
    <col min="11293" max="11294" width="17.5703125" style="146" customWidth="1"/>
    <col min="11295" max="11295" width="16.28515625" style="146" customWidth="1"/>
    <col min="11296" max="11296" width="18.5703125" style="146" customWidth="1"/>
    <col min="11297" max="11297" width="12.5703125" style="146" customWidth="1"/>
    <col min="11298" max="11299" width="49.28515625" style="146" customWidth="1"/>
    <col min="11300" max="11300" width="28.85546875" style="146" customWidth="1"/>
    <col min="11301" max="11304" width="30.140625" style="146" customWidth="1"/>
    <col min="11305" max="11310" width="12.5703125" style="146" customWidth="1"/>
    <col min="11311" max="11311" width="12.85546875" style="146" customWidth="1"/>
    <col min="11312" max="11539" width="12.5703125" style="146"/>
    <col min="11540" max="11540" width="37.28515625" style="146" customWidth="1"/>
    <col min="11541" max="11541" width="35.85546875" style="146" customWidth="1"/>
    <col min="11542" max="11547" width="0" style="146" hidden="1" customWidth="1"/>
    <col min="11548" max="11548" width="11.85546875" style="146" customWidth="1"/>
    <col min="11549" max="11550" width="17.5703125" style="146" customWidth="1"/>
    <col min="11551" max="11551" width="16.28515625" style="146" customWidth="1"/>
    <col min="11552" max="11552" width="18.5703125" style="146" customWidth="1"/>
    <col min="11553" max="11553" width="12.5703125" style="146" customWidth="1"/>
    <col min="11554" max="11555" width="49.28515625" style="146" customWidth="1"/>
    <col min="11556" max="11556" width="28.85546875" style="146" customWidth="1"/>
    <col min="11557" max="11560" width="30.140625" style="146" customWidth="1"/>
    <col min="11561" max="11566" width="12.5703125" style="146" customWidth="1"/>
    <col min="11567" max="11567" width="12.85546875" style="146" customWidth="1"/>
    <col min="11568" max="11795" width="12.5703125" style="146"/>
    <col min="11796" max="11796" width="37.28515625" style="146" customWidth="1"/>
    <col min="11797" max="11797" width="35.85546875" style="146" customWidth="1"/>
    <col min="11798" max="11803" width="0" style="146" hidden="1" customWidth="1"/>
    <col min="11804" max="11804" width="11.85546875" style="146" customWidth="1"/>
    <col min="11805" max="11806" width="17.5703125" style="146" customWidth="1"/>
    <col min="11807" max="11807" width="16.28515625" style="146" customWidth="1"/>
    <col min="11808" max="11808" width="18.5703125" style="146" customWidth="1"/>
    <col min="11809" max="11809" width="12.5703125" style="146" customWidth="1"/>
    <col min="11810" max="11811" width="49.28515625" style="146" customWidth="1"/>
    <col min="11812" max="11812" width="28.85546875" style="146" customWidth="1"/>
    <col min="11813" max="11816" width="30.140625" style="146" customWidth="1"/>
    <col min="11817" max="11822" width="12.5703125" style="146" customWidth="1"/>
    <col min="11823" max="11823" width="12.85546875" style="146" customWidth="1"/>
    <col min="11824" max="12051" width="12.5703125" style="146"/>
    <col min="12052" max="12052" width="37.28515625" style="146" customWidth="1"/>
    <col min="12053" max="12053" width="35.85546875" style="146" customWidth="1"/>
    <col min="12054" max="12059" width="0" style="146" hidden="1" customWidth="1"/>
    <col min="12060" max="12060" width="11.85546875" style="146" customWidth="1"/>
    <col min="12061" max="12062" width="17.5703125" style="146" customWidth="1"/>
    <col min="12063" max="12063" width="16.28515625" style="146" customWidth="1"/>
    <col min="12064" max="12064" width="18.5703125" style="146" customWidth="1"/>
    <col min="12065" max="12065" width="12.5703125" style="146" customWidth="1"/>
    <col min="12066" max="12067" width="49.28515625" style="146" customWidth="1"/>
    <col min="12068" max="12068" width="28.85546875" style="146" customWidth="1"/>
    <col min="12069" max="12072" width="30.140625" style="146" customWidth="1"/>
    <col min="12073" max="12078" width="12.5703125" style="146" customWidth="1"/>
    <col min="12079" max="12079" width="12.85546875" style="146" customWidth="1"/>
    <col min="12080" max="12307" width="12.5703125" style="146"/>
    <col min="12308" max="12308" width="37.28515625" style="146" customWidth="1"/>
    <col min="12309" max="12309" width="35.85546875" style="146" customWidth="1"/>
    <col min="12310" max="12315" width="0" style="146" hidden="1" customWidth="1"/>
    <col min="12316" max="12316" width="11.85546875" style="146" customWidth="1"/>
    <col min="12317" max="12318" width="17.5703125" style="146" customWidth="1"/>
    <col min="12319" max="12319" width="16.28515625" style="146" customWidth="1"/>
    <col min="12320" max="12320" width="18.5703125" style="146" customWidth="1"/>
    <col min="12321" max="12321" width="12.5703125" style="146" customWidth="1"/>
    <col min="12322" max="12323" width="49.28515625" style="146" customWidth="1"/>
    <col min="12324" max="12324" width="28.85546875" style="146" customWidth="1"/>
    <col min="12325" max="12328" width="30.140625" style="146" customWidth="1"/>
    <col min="12329" max="12334" width="12.5703125" style="146" customWidth="1"/>
    <col min="12335" max="12335" width="12.85546875" style="146" customWidth="1"/>
    <col min="12336" max="12563" width="12.5703125" style="146"/>
    <col min="12564" max="12564" width="37.28515625" style="146" customWidth="1"/>
    <col min="12565" max="12565" width="35.85546875" style="146" customWidth="1"/>
    <col min="12566" max="12571" width="0" style="146" hidden="1" customWidth="1"/>
    <col min="12572" max="12572" width="11.85546875" style="146" customWidth="1"/>
    <col min="12573" max="12574" width="17.5703125" style="146" customWidth="1"/>
    <col min="12575" max="12575" width="16.28515625" style="146" customWidth="1"/>
    <col min="12576" max="12576" width="18.5703125" style="146" customWidth="1"/>
    <col min="12577" max="12577" width="12.5703125" style="146" customWidth="1"/>
    <col min="12578" max="12579" width="49.28515625" style="146" customWidth="1"/>
    <col min="12580" max="12580" width="28.85546875" style="146" customWidth="1"/>
    <col min="12581" max="12584" width="30.140625" style="146" customWidth="1"/>
    <col min="12585" max="12590" width="12.5703125" style="146" customWidth="1"/>
    <col min="12591" max="12591" width="12.85546875" style="146" customWidth="1"/>
    <col min="12592" max="12819" width="12.5703125" style="146"/>
    <col min="12820" max="12820" width="37.28515625" style="146" customWidth="1"/>
    <col min="12821" max="12821" width="35.85546875" style="146" customWidth="1"/>
    <col min="12822" max="12827" width="0" style="146" hidden="1" customWidth="1"/>
    <col min="12828" max="12828" width="11.85546875" style="146" customWidth="1"/>
    <col min="12829" max="12830" width="17.5703125" style="146" customWidth="1"/>
    <col min="12831" max="12831" width="16.28515625" style="146" customWidth="1"/>
    <col min="12832" max="12832" width="18.5703125" style="146" customWidth="1"/>
    <col min="12833" max="12833" width="12.5703125" style="146" customWidth="1"/>
    <col min="12834" max="12835" width="49.28515625" style="146" customWidth="1"/>
    <col min="12836" max="12836" width="28.85546875" style="146" customWidth="1"/>
    <col min="12837" max="12840" width="30.140625" style="146" customWidth="1"/>
    <col min="12841" max="12846" width="12.5703125" style="146" customWidth="1"/>
    <col min="12847" max="12847" width="12.85546875" style="146" customWidth="1"/>
    <col min="12848" max="13075" width="12.5703125" style="146"/>
    <col min="13076" max="13076" width="37.28515625" style="146" customWidth="1"/>
    <col min="13077" max="13077" width="35.85546875" style="146" customWidth="1"/>
    <col min="13078" max="13083" width="0" style="146" hidden="1" customWidth="1"/>
    <col min="13084" max="13084" width="11.85546875" style="146" customWidth="1"/>
    <col min="13085" max="13086" width="17.5703125" style="146" customWidth="1"/>
    <col min="13087" max="13087" width="16.28515625" style="146" customWidth="1"/>
    <col min="13088" max="13088" width="18.5703125" style="146" customWidth="1"/>
    <col min="13089" max="13089" width="12.5703125" style="146" customWidth="1"/>
    <col min="13090" max="13091" width="49.28515625" style="146" customWidth="1"/>
    <col min="13092" max="13092" width="28.85546875" style="146" customWidth="1"/>
    <col min="13093" max="13096" width="30.140625" style="146" customWidth="1"/>
    <col min="13097" max="13102" width="12.5703125" style="146" customWidth="1"/>
    <col min="13103" max="13103" width="12.85546875" style="146" customWidth="1"/>
    <col min="13104" max="13331" width="12.5703125" style="146"/>
    <col min="13332" max="13332" width="37.28515625" style="146" customWidth="1"/>
    <col min="13333" max="13333" width="35.85546875" style="146" customWidth="1"/>
    <col min="13334" max="13339" width="0" style="146" hidden="1" customWidth="1"/>
    <col min="13340" max="13340" width="11.85546875" style="146" customWidth="1"/>
    <col min="13341" max="13342" width="17.5703125" style="146" customWidth="1"/>
    <col min="13343" max="13343" width="16.28515625" style="146" customWidth="1"/>
    <col min="13344" max="13344" width="18.5703125" style="146" customWidth="1"/>
    <col min="13345" max="13345" width="12.5703125" style="146" customWidth="1"/>
    <col min="13346" max="13347" width="49.28515625" style="146" customWidth="1"/>
    <col min="13348" max="13348" width="28.85546875" style="146" customWidth="1"/>
    <col min="13349" max="13352" width="30.140625" style="146" customWidth="1"/>
    <col min="13353" max="13358" width="12.5703125" style="146" customWidth="1"/>
    <col min="13359" max="13359" width="12.85546875" style="146" customWidth="1"/>
    <col min="13360" max="13587" width="12.5703125" style="146"/>
    <col min="13588" max="13588" width="37.28515625" style="146" customWidth="1"/>
    <col min="13589" max="13589" width="35.85546875" style="146" customWidth="1"/>
    <col min="13590" max="13595" width="0" style="146" hidden="1" customWidth="1"/>
    <col min="13596" max="13596" width="11.85546875" style="146" customWidth="1"/>
    <col min="13597" max="13598" width="17.5703125" style="146" customWidth="1"/>
    <col min="13599" max="13599" width="16.28515625" style="146" customWidth="1"/>
    <col min="13600" max="13600" width="18.5703125" style="146" customWidth="1"/>
    <col min="13601" max="13601" width="12.5703125" style="146" customWidth="1"/>
    <col min="13602" max="13603" width="49.28515625" style="146" customWidth="1"/>
    <col min="13604" max="13604" width="28.85546875" style="146" customWidth="1"/>
    <col min="13605" max="13608" width="30.140625" style="146" customWidth="1"/>
    <col min="13609" max="13614" width="12.5703125" style="146" customWidth="1"/>
    <col min="13615" max="13615" width="12.85546875" style="146" customWidth="1"/>
    <col min="13616" max="13843" width="12.5703125" style="146"/>
    <col min="13844" max="13844" width="37.28515625" style="146" customWidth="1"/>
    <col min="13845" max="13845" width="35.85546875" style="146" customWidth="1"/>
    <col min="13846" max="13851" width="0" style="146" hidden="1" customWidth="1"/>
    <col min="13852" max="13852" width="11.85546875" style="146" customWidth="1"/>
    <col min="13853" max="13854" width="17.5703125" style="146" customWidth="1"/>
    <col min="13855" max="13855" width="16.28515625" style="146" customWidth="1"/>
    <col min="13856" max="13856" width="18.5703125" style="146" customWidth="1"/>
    <col min="13857" max="13857" width="12.5703125" style="146" customWidth="1"/>
    <col min="13858" max="13859" width="49.28515625" style="146" customWidth="1"/>
    <col min="13860" max="13860" width="28.85546875" style="146" customWidth="1"/>
    <col min="13861" max="13864" width="30.140625" style="146" customWidth="1"/>
    <col min="13865" max="13870" width="12.5703125" style="146" customWidth="1"/>
    <col min="13871" max="13871" width="12.85546875" style="146" customWidth="1"/>
    <col min="13872" max="14099" width="12.5703125" style="146"/>
    <col min="14100" max="14100" width="37.28515625" style="146" customWidth="1"/>
    <col min="14101" max="14101" width="35.85546875" style="146" customWidth="1"/>
    <col min="14102" max="14107" width="0" style="146" hidden="1" customWidth="1"/>
    <col min="14108" max="14108" width="11.85546875" style="146" customWidth="1"/>
    <col min="14109" max="14110" width="17.5703125" style="146" customWidth="1"/>
    <col min="14111" max="14111" width="16.28515625" style="146" customWidth="1"/>
    <col min="14112" max="14112" width="18.5703125" style="146" customWidth="1"/>
    <col min="14113" max="14113" width="12.5703125" style="146" customWidth="1"/>
    <col min="14114" max="14115" width="49.28515625" style="146" customWidth="1"/>
    <col min="14116" max="14116" width="28.85546875" style="146" customWidth="1"/>
    <col min="14117" max="14120" width="30.140625" style="146" customWidth="1"/>
    <col min="14121" max="14126" width="12.5703125" style="146" customWidth="1"/>
    <col min="14127" max="14127" width="12.85546875" style="146" customWidth="1"/>
    <col min="14128" max="14355" width="12.5703125" style="146"/>
    <col min="14356" max="14356" width="37.28515625" style="146" customWidth="1"/>
    <col min="14357" max="14357" width="35.85546875" style="146" customWidth="1"/>
    <col min="14358" max="14363" width="0" style="146" hidden="1" customWidth="1"/>
    <col min="14364" max="14364" width="11.85546875" style="146" customWidth="1"/>
    <col min="14365" max="14366" width="17.5703125" style="146" customWidth="1"/>
    <col min="14367" max="14367" width="16.28515625" style="146" customWidth="1"/>
    <col min="14368" max="14368" width="18.5703125" style="146" customWidth="1"/>
    <col min="14369" max="14369" width="12.5703125" style="146" customWidth="1"/>
    <col min="14370" max="14371" width="49.28515625" style="146" customWidth="1"/>
    <col min="14372" max="14372" width="28.85546875" style="146" customWidth="1"/>
    <col min="14373" max="14376" width="30.140625" style="146" customWidth="1"/>
    <col min="14377" max="14382" width="12.5703125" style="146" customWidth="1"/>
    <col min="14383" max="14383" width="12.85546875" style="146" customWidth="1"/>
    <col min="14384" max="14611" width="12.5703125" style="146"/>
    <col min="14612" max="14612" width="37.28515625" style="146" customWidth="1"/>
    <col min="14613" max="14613" width="35.85546875" style="146" customWidth="1"/>
    <col min="14614" max="14619" width="0" style="146" hidden="1" customWidth="1"/>
    <col min="14620" max="14620" width="11.85546875" style="146" customWidth="1"/>
    <col min="14621" max="14622" width="17.5703125" style="146" customWidth="1"/>
    <col min="14623" max="14623" width="16.28515625" style="146" customWidth="1"/>
    <col min="14624" max="14624" width="18.5703125" style="146" customWidth="1"/>
    <col min="14625" max="14625" width="12.5703125" style="146" customWidth="1"/>
    <col min="14626" max="14627" width="49.28515625" style="146" customWidth="1"/>
    <col min="14628" max="14628" width="28.85546875" style="146" customWidth="1"/>
    <col min="14629" max="14632" width="30.140625" style="146" customWidth="1"/>
    <col min="14633" max="14638" width="12.5703125" style="146" customWidth="1"/>
    <col min="14639" max="14639" width="12.85546875" style="146" customWidth="1"/>
    <col min="14640" max="14867" width="12.5703125" style="146"/>
    <col min="14868" max="14868" width="37.28515625" style="146" customWidth="1"/>
    <col min="14869" max="14869" width="35.85546875" style="146" customWidth="1"/>
    <col min="14870" max="14875" width="0" style="146" hidden="1" customWidth="1"/>
    <col min="14876" max="14876" width="11.85546875" style="146" customWidth="1"/>
    <col min="14877" max="14878" width="17.5703125" style="146" customWidth="1"/>
    <col min="14879" max="14879" width="16.28515625" style="146" customWidth="1"/>
    <col min="14880" max="14880" width="18.5703125" style="146" customWidth="1"/>
    <col min="14881" max="14881" width="12.5703125" style="146" customWidth="1"/>
    <col min="14882" max="14883" width="49.28515625" style="146" customWidth="1"/>
    <col min="14884" max="14884" width="28.85546875" style="146" customWidth="1"/>
    <col min="14885" max="14888" width="30.140625" style="146" customWidth="1"/>
    <col min="14889" max="14894" width="12.5703125" style="146" customWidth="1"/>
    <col min="14895" max="14895" width="12.85546875" style="146" customWidth="1"/>
    <col min="14896" max="15123" width="12.5703125" style="146"/>
    <col min="15124" max="15124" width="37.28515625" style="146" customWidth="1"/>
    <col min="15125" max="15125" width="35.85546875" style="146" customWidth="1"/>
    <col min="15126" max="15131" width="0" style="146" hidden="1" customWidth="1"/>
    <col min="15132" max="15132" width="11.85546875" style="146" customWidth="1"/>
    <col min="15133" max="15134" width="17.5703125" style="146" customWidth="1"/>
    <col min="15135" max="15135" width="16.28515625" style="146" customWidth="1"/>
    <col min="15136" max="15136" width="18.5703125" style="146" customWidth="1"/>
    <col min="15137" max="15137" width="12.5703125" style="146" customWidth="1"/>
    <col min="15138" max="15139" width="49.28515625" style="146" customWidth="1"/>
    <col min="15140" max="15140" width="28.85546875" style="146" customWidth="1"/>
    <col min="15141" max="15144" width="30.140625" style="146" customWidth="1"/>
    <col min="15145" max="15150" width="12.5703125" style="146" customWidth="1"/>
    <col min="15151" max="15151" width="12.85546875" style="146" customWidth="1"/>
    <col min="15152" max="15379" width="12.5703125" style="146"/>
    <col min="15380" max="15380" width="37.28515625" style="146" customWidth="1"/>
    <col min="15381" max="15381" width="35.85546875" style="146" customWidth="1"/>
    <col min="15382" max="15387" width="0" style="146" hidden="1" customWidth="1"/>
    <col min="15388" max="15388" width="11.85546875" style="146" customWidth="1"/>
    <col min="15389" max="15390" width="17.5703125" style="146" customWidth="1"/>
    <col min="15391" max="15391" width="16.28515625" style="146" customWidth="1"/>
    <col min="15392" max="15392" width="18.5703125" style="146" customWidth="1"/>
    <col min="15393" max="15393" width="12.5703125" style="146" customWidth="1"/>
    <col min="15394" max="15395" width="49.28515625" style="146" customWidth="1"/>
    <col min="15396" max="15396" width="28.85546875" style="146" customWidth="1"/>
    <col min="15397" max="15400" width="30.140625" style="146" customWidth="1"/>
    <col min="15401" max="15406" width="12.5703125" style="146" customWidth="1"/>
    <col min="15407" max="15407" width="12.85546875" style="146" customWidth="1"/>
    <col min="15408" max="15635" width="12.5703125" style="146"/>
    <col min="15636" max="15636" width="37.28515625" style="146" customWidth="1"/>
    <col min="15637" max="15637" width="35.85546875" style="146" customWidth="1"/>
    <col min="15638" max="15643" width="0" style="146" hidden="1" customWidth="1"/>
    <col min="15644" max="15644" width="11.85546875" style="146" customWidth="1"/>
    <col min="15645" max="15646" width="17.5703125" style="146" customWidth="1"/>
    <col min="15647" max="15647" width="16.28515625" style="146" customWidth="1"/>
    <col min="15648" max="15648" width="18.5703125" style="146" customWidth="1"/>
    <col min="15649" max="15649" width="12.5703125" style="146" customWidth="1"/>
    <col min="15650" max="15651" width="49.28515625" style="146" customWidth="1"/>
    <col min="15652" max="15652" width="28.85546875" style="146" customWidth="1"/>
    <col min="15653" max="15656" width="30.140625" style="146" customWidth="1"/>
    <col min="15657" max="15662" width="12.5703125" style="146" customWidth="1"/>
    <col min="15663" max="15663" width="12.85546875" style="146" customWidth="1"/>
    <col min="15664" max="15891" width="12.5703125" style="146"/>
    <col min="15892" max="15892" width="37.28515625" style="146" customWidth="1"/>
    <col min="15893" max="15893" width="35.85546875" style="146" customWidth="1"/>
    <col min="15894" max="15899" width="0" style="146" hidden="1" customWidth="1"/>
    <col min="15900" max="15900" width="11.85546875" style="146" customWidth="1"/>
    <col min="15901" max="15902" width="17.5703125" style="146" customWidth="1"/>
    <col min="15903" max="15903" width="16.28515625" style="146" customWidth="1"/>
    <col min="15904" max="15904" width="18.5703125" style="146" customWidth="1"/>
    <col min="15905" max="15905" width="12.5703125" style="146" customWidth="1"/>
    <col min="15906" max="15907" width="49.28515625" style="146" customWidth="1"/>
    <col min="15908" max="15908" width="28.85546875" style="146" customWidth="1"/>
    <col min="15909" max="15912" width="30.140625" style="146" customWidth="1"/>
    <col min="15913" max="15918" width="12.5703125" style="146" customWidth="1"/>
    <col min="15919" max="15919" width="12.85546875" style="146" customWidth="1"/>
    <col min="15920" max="16147" width="12.5703125" style="146"/>
    <col min="16148" max="16148" width="37.28515625" style="146" customWidth="1"/>
    <col min="16149" max="16149" width="35.85546875" style="146" customWidth="1"/>
    <col min="16150" max="16155" width="0" style="146" hidden="1" customWidth="1"/>
    <col min="16156" max="16156" width="11.85546875" style="146" customWidth="1"/>
    <col min="16157" max="16158" width="17.5703125" style="146" customWidth="1"/>
    <col min="16159" max="16159" width="16.28515625" style="146" customWidth="1"/>
    <col min="16160" max="16160" width="18.5703125" style="146" customWidth="1"/>
    <col min="16161" max="16161" width="12.5703125" style="146" customWidth="1"/>
    <col min="16162" max="16163" width="49.28515625" style="146" customWidth="1"/>
    <col min="16164" max="16164" width="28.85546875" style="146" customWidth="1"/>
    <col min="16165" max="16168" width="30.140625" style="146" customWidth="1"/>
    <col min="16169" max="16174" width="12.5703125" style="146" customWidth="1"/>
    <col min="16175" max="16175" width="12.85546875" style="146" customWidth="1"/>
    <col min="16176" max="16384" width="12.5703125" style="146"/>
  </cols>
  <sheetData>
    <row r="1" spans="1:36" ht="45.75" customHeight="1" thickBot="1" x14ac:dyDescent="0.3">
      <c r="A1" s="2264" t="s">
        <v>632</v>
      </c>
      <c r="B1" s="2265"/>
      <c r="C1" s="2265"/>
      <c r="D1" s="2265"/>
      <c r="E1" s="2265"/>
      <c r="F1" s="2265"/>
      <c r="G1" s="2265"/>
      <c r="H1" s="2265"/>
      <c r="I1" s="2265"/>
      <c r="J1" s="2265"/>
      <c r="K1" s="2265"/>
      <c r="L1" s="2265"/>
      <c r="M1" s="2265"/>
      <c r="N1" s="2265"/>
      <c r="O1" s="2265"/>
      <c r="P1" s="2265"/>
      <c r="Q1" s="2265"/>
      <c r="R1" s="2265"/>
      <c r="S1" s="2265"/>
      <c r="T1" s="2265"/>
      <c r="U1" s="2265"/>
      <c r="V1" s="2265"/>
      <c r="W1" s="2265"/>
      <c r="X1" s="2265"/>
      <c r="Y1" s="2265"/>
      <c r="Z1" s="2265"/>
      <c r="AA1" s="2265"/>
      <c r="AB1" s="2265"/>
      <c r="AC1" s="2265"/>
      <c r="AD1" s="2265"/>
      <c r="AE1" s="2265"/>
      <c r="AF1" s="2266"/>
    </row>
    <row r="2" spans="1:36" ht="29.25" customHeight="1" x14ac:dyDescent="0.25">
      <c r="A2" s="2267" t="s">
        <v>88</v>
      </c>
      <c r="B2" s="2269" t="s">
        <v>89</v>
      </c>
      <c r="C2" s="2271"/>
      <c r="D2" s="2271"/>
      <c r="E2" s="410" t="s">
        <v>90</v>
      </c>
      <c r="F2" s="410"/>
      <c r="G2" s="410" t="s">
        <v>91</v>
      </c>
      <c r="H2" s="2271" t="s">
        <v>91</v>
      </c>
      <c r="I2" s="2271"/>
      <c r="J2" s="2271"/>
      <c r="K2" s="2271"/>
      <c r="L2" s="2271"/>
      <c r="M2" s="2271"/>
      <c r="N2" s="2271"/>
      <c r="O2" s="2271" t="s">
        <v>91</v>
      </c>
      <c r="P2" s="2271"/>
      <c r="Q2" s="2272" t="s">
        <v>91</v>
      </c>
      <c r="R2" s="2273"/>
      <c r="S2" s="2273"/>
      <c r="T2" s="2274"/>
      <c r="U2" s="2275" t="s">
        <v>91</v>
      </c>
      <c r="V2" s="2276"/>
      <c r="W2" s="2275" t="s">
        <v>91</v>
      </c>
      <c r="X2" s="2276"/>
      <c r="Y2" s="2275" t="s">
        <v>91</v>
      </c>
      <c r="Z2" s="2276"/>
      <c r="AA2" s="2275" t="s">
        <v>91</v>
      </c>
      <c r="AB2" s="2276"/>
      <c r="AC2" s="2275" t="s">
        <v>91</v>
      </c>
      <c r="AD2" s="2276"/>
      <c r="AE2" s="2277" t="s">
        <v>92</v>
      </c>
      <c r="AF2" s="2277" t="s">
        <v>93</v>
      </c>
    </row>
    <row r="3" spans="1:36" ht="44.25" customHeight="1" x14ac:dyDescent="0.25">
      <c r="A3" s="2268"/>
      <c r="B3" s="2270"/>
      <c r="C3" s="970" t="s">
        <v>94</v>
      </c>
      <c r="D3" s="970" t="s">
        <v>95</v>
      </c>
      <c r="E3" s="970" t="s">
        <v>96</v>
      </c>
      <c r="F3" s="970" t="s">
        <v>97</v>
      </c>
      <c r="G3" s="970" t="s">
        <v>98</v>
      </c>
      <c r="H3" s="970" t="s">
        <v>99</v>
      </c>
      <c r="I3" s="970" t="s">
        <v>100</v>
      </c>
      <c r="J3" s="970" t="s">
        <v>101</v>
      </c>
      <c r="K3" s="970" t="s">
        <v>278</v>
      </c>
      <c r="L3" s="970" t="s">
        <v>279</v>
      </c>
      <c r="M3" s="970" t="s">
        <v>319</v>
      </c>
      <c r="N3" s="970" t="s">
        <v>320</v>
      </c>
      <c r="O3" s="970" t="s">
        <v>342</v>
      </c>
      <c r="P3" s="970" t="s">
        <v>343</v>
      </c>
      <c r="Q3" s="970" t="s">
        <v>410</v>
      </c>
      <c r="R3" s="970" t="s">
        <v>411</v>
      </c>
      <c r="S3" s="970" t="s">
        <v>445</v>
      </c>
      <c r="T3" s="970" t="s">
        <v>446</v>
      </c>
      <c r="U3" s="970" t="s">
        <v>602</v>
      </c>
      <c r="V3" s="970" t="s">
        <v>603</v>
      </c>
      <c r="W3" s="970" t="s">
        <v>624</v>
      </c>
      <c r="X3" s="970" t="s">
        <v>625</v>
      </c>
      <c r="Y3" s="970" t="s">
        <v>718</v>
      </c>
      <c r="Z3" s="970" t="s">
        <v>719</v>
      </c>
      <c r="AA3" s="970" t="s">
        <v>831</v>
      </c>
      <c r="AB3" s="970" t="s">
        <v>832</v>
      </c>
      <c r="AC3" s="970" t="s">
        <v>1040</v>
      </c>
      <c r="AD3" s="970" t="s">
        <v>1041</v>
      </c>
      <c r="AE3" s="2270"/>
      <c r="AF3" s="2278"/>
    </row>
    <row r="4" spans="1:36" ht="78" customHeight="1" x14ac:dyDescent="0.3">
      <c r="A4" s="2279" t="s">
        <v>333</v>
      </c>
      <c r="B4" s="1489" t="s">
        <v>731</v>
      </c>
      <c r="C4" s="548">
        <v>0.95</v>
      </c>
      <c r="D4" s="548">
        <v>0.95</v>
      </c>
      <c r="E4" s="548">
        <v>0.996</v>
      </c>
      <c r="F4" s="548">
        <v>0.96</v>
      </c>
      <c r="G4" s="548">
        <v>1</v>
      </c>
      <c r="H4" s="548">
        <v>0.96</v>
      </c>
      <c r="I4" s="548">
        <v>0.8</v>
      </c>
      <c r="J4" s="548">
        <v>1</v>
      </c>
      <c r="K4" s="548">
        <v>0.98</v>
      </c>
      <c r="L4" s="548">
        <v>0.97</v>
      </c>
      <c r="M4" s="548">
        <v>0.96</v>
      </c>
      <c r="N4" s="548">
        <v>0.97</v>
      </c>
      <c r="O4" s="548">
        <v>0.96</v>
      </c>
      <c r="P4" s="548">
        <v>0.99</v>
      </c>
      <c r="Q4" s="1490">
        <v>0.99</v>
      </c>
      <c r="R4" s="1490">
        <v>0.99</v>
      </c>
      <c r="S4" s="1490">
        <v>0.99</v>
      </c>
      <c r="T4" s="1490">
        <v>0.98</v>
      </c>
      <c r="U4" s="1490">
        <v>0.97499999999999998</v>
      </c>
      <c r="V4" s="1490">
        <v>0.98899999999999999</v>
      </c>
      <c r="W4" s="973">
        <v>0.99</v>
      </c>
      <c r="X4" s="973">
        <v>0.99739999999999995</v>
      </c>
      <c r="Y4" s="973">
        <v>0.99439999999999995</v>
      </c>
      <c r="Z4" s="973">
        <v>0.98060000000000003</v>
      </c>
      <c r="AA4" s="973">
        <v>0.99490000000000001</v>
      </c>
      <c r="AB4" s="973">
        <v>0.99280000000000002</v>
      </c>
      <c r="AC4" s="973">
        <v>0.99660000000000004</v>
      </c>
      <c r="AD4" s="973">
        <v>0.99250000000000005</v>
      </c>
      <c r="AE4" s="1299">
        <f>AVERAGE(AC4:AD4)</f>
        <v>0.99455000000000005</v>
      </c>
      <c r="AF4" s="606">
        <f>AD4-AC4</f>
        <v>-4.0999999999999925E-3</v>
      </c>
      <c r="AG4" s="168">
        <v>1</v>
      </c>
      <c r="AH4" s="147"/>
      <c r="AI4" s="39"/>
      <c r="AJ4" s="39"/>
    </row>
    <row r="5" spans="1:36" ht="45.75" customHeight="1" x14ac:dyDescent="0.3">
      <c r="A5" s="2279"/>
      <c r="B5" s="1489" t="s">
        <v>393</v>
      </c>
      <c r="C5" s="548"/>
      <c r="D5" s="548"/>
      <c r="E5" s="548"/>
      <c r="F5" s="548"/>
      <c r="G5" s="548">
        <v>0.97</v>
      </c>
      <c r="H5" s="548">
        <v>0.96</v>
      </c>
      <c r="I5" s="548">
        <v>1</v>
      </c>
      <c r="J5" s="548">
        <v>1</v>
      </c>
      <c r="K5" s="548">
        <v>0.995</v>
      </c>
      <c r="L5" s="548">
        <v>1</v>
      </c>
      <c r="M5" s="548">
        <v>0.995</v>
      </c>
      <c r="N5" s="548">
        <v>0.97</v>
      </c>
      <c r="O5" s="548">
        <v>0.96</v>
      </c>
      <c r="P5" s="548">
        <v>0.99</v>
      </c>
      <c r="Q5" s="1490">
        <v>0.98299999999999998</v>
      </c>
      <c r="R5" s="1490">
        <v>0.98</v>
      </c>
      <c r="S5" s="1490">
        <v>0.99</v>
      </c>
      <c r="T5" s="1490">
        <v>0.98</v>
      </c>
      <c r="U5" s="1490">
        <v>0.98799999999999999</v>
      </c>
      <c r="V5" s="1490">
        <v>0.98</v>
      </c>
      <c r="W5" s="973">
        <v>0.98860000000000003</v>
      </c>
      <c r="X5" s="973">
        <v>0.98380000000000001</v>
      </c>
      <c r="Y5" s="973">
        <v>0.98950000000000005</v>
      </c>
      <c r="Z5" s="973">
        <v>0.87670000000000003</v>
      </c>
      <c r="AA5" s="973">
        <v>0.99490000000000001</v>
      </c>
      <c r="AB5" s="973">
        <v>0.9889</v>
      </c>
      <c r="AC5" s="973">
        <v>0.99590000000000001</v>
      </c>
      <c r="AD5" s="973">
        <v>0.99439999999999995</v>
      </c>
      <c r="AE5" s="1299">
        <f t="shared" ref="AE5:AE6" si="0">AVERAGE(AC5:AD5)</f>
        <v>0.99514999999999998</v>
      </c>
      <c r="AF5" s="606">
        <f t="shared" ref="AF5:AF6" si="1">AD5-AC5</f>
        <v>-1.5000000000000568E-3</v>
      </c>
      <c r="AG5" s="168">
        <v>1</v>
      </c>
      <c r="AH5" s="147"/>
      <c r="AI5" s="39"/>
      <c r="AJ5" s="39"/>
    </row>
    <row r="6" spans="1:36" ht="63.75" customHeight="1" x14ac:dyDescent="0.3">
      <c r="A6" s="2279" t="s">
        <v>102</v>
      </c>
      <c r="B6" s="1491" t="s">
        <v>394</v>
      </c>
      <c r="C6" s="392">
        <v>0.85799999999999998</v>
      </c>
      <c r="D6" s="392">
        <v>0.86199999999999999</v>
      </c>
      <c r="E6" s="548">
        <v>0.89300000000000002</v>
      </c>
      <c r="F6" s="548">
        <v>0.91200000000000003</v>
      </c>
      <c r="G6" s="548">
        <v>0.98</v>
      </c>
      <c r="H6" s="548">
        <v>0.92</v>
      </c>
      <c r="I6" s="548">
        <v>0.94</v>
      </c>
      <c r="J6" s="548">
        <v>0.95</v>
      </c>
      <c r="K6" s="548">
        <v>0.97</v>
      </c>
      <c r="L6" s="548">
        <v>0.97</v>
      </c>
      <c r="M6" s="548">
        <v>0.97</v>
      </c>
      <c r="N6" s="548">
        <v>0.99</v>
      </c>
      <c r="O6" s="548">
        <v>0.95</v>
      </c>
      <c r="P6" s="548">
        <v>0.96</v>
      </c>
      <c r="Q6" s="566">
        <v>0.86</v>
      </c>
      <c r="R6" s="566">
        <v>0.83</v>
      </c>
      <c r="S6" s="566">
        <v>0.86</v>
      </c>
      <c r="T6" s="566">
        <v>0.92</v>
      </c>
      <c r="U6" s="566">
        <v>0.97699999999999998</v>
      </c>
      <c r="V6" s="566">
        <v>0.90600000000000003</v>
      </c>
      <c r="W6" s="394">
        <v>0.86509999999999998</v>
      </c>
      <c r="X6" s="394">
        <v>0.92579999999999996</v>
      </c>
      <c r="Y6" s="394">
        <v>0.90790000000000004</v>
      </c>
      <c r="Z6" s="394">
        <v>0.91849999999999998</v>
      </c>
      <c r="AA6" s="394">
        <v>0.90659999999999996</v>
      </c>
      <c r="AB6" s="394">
        <v>0.90339999999999998</v>
      </c>
      <c r="AC6" s="973">
        <v>0.85050000000000003</v>
      </c>
      <c r="AD6" s="973">
        <v>0.81559999999999999</v>
      </c>
      <c r="AE6" s="1299">
        <f t="shared" si="0"/>
        <v>0.83305000000000007</v>
      </c>
      <c r="AF6" s="606">
        <f t="shared" si="1"/>
        <v>-3.4900000000000042E-2</v>
      </c>
      <c r="AG6" s="168">
        <v>1</v>
      </c>
      <c r="AH6" s="147"/>
      <c r="AI6" s="39"/>
      <c r="AJ6" s="39"/>
    </row>
    <row r="7" spans="1:36" ht="78" hidden="1" customHeight="1" x14ac:dyDescent="0.3">
      <c r="A7" s="2279"/>
      <c r="B7" s="395" t="s">
        <v>1306</v>
      </c>
      <c r="C7" s="392"/>
      <c r="D7" s="392"/>
      <c r="E7" s="548"/>
      <c r="F7" s="548"/>
      <c r="G7" s="548"/>
      <c r="H7" s="548">
        <v>0.03</v>
      </c>
      <c r="I7" s="548">
        <v>0.02</v>
      </c>
      <c r="J7" s="548">
        <v>0</v>
      </c>
      <c r="K7" s="548">
        <v>0.03</v>
      </c>
      <c r="L7" s="548">
        <v>0.03</v>
      </c>
      <c r="M7" s="548">
        <v>0.02</v>
      </c>
      <c r="N7" s="548">
        <v>0.01</v>
      </c>
      <c r="O7" s="548"/>
      <c r="P7" s="548"/>
      <c r="Q7" s="566"/>
      <c r="R7" s="566"/>
      <c r="S7" s="566"/>
      <c r="T7" s="566"/>
      <c r="U7" s="566"/>
      <c r="V7" s="566"/>
      <c r="W7" s="394"/>
      <c r="X7" s="394"/>
      <c r="Y7" s="394"/>
      <c r="Z7" s="394"/>
      <c r="AA7" s="394"/>
      <c r="AB7" s="394"/>
      <c r="AC7" s="394"/>
      <c r="AD7" s="394"/>
      <c r="AE7" s="549"/>
      <c r="AF7" s="606">
        <f t="shared" ref="AF7:AF11" si="2">AA7-AB7</f>
        <v>0</v>
      </c>
      <c r="AH7" s="147"/>
      <c r="AI7" s="39"/>
      <c r="AJ7" s="39"/>
    </row>
    <row r="8" spans="1:36" ht="60.75" hidden="1" customHeight="1" x14ac:dyDescent="0.3">
      <c r="A8" s="2279"/>
      <c r="B8" s="395" t="s">
        <v>1307</v>
      </c>
      <c r="C8" s="392"/>
      <c r="D8" s="392"/>
      <c r="E8" s="548"/>
      <c r="F8" s="548"/>
      <c r="G8" s="548"/>
      <c r="H8" s="548">
        <v>0.04</v>
      </c>
      <c r="I8" s="548">
        <v>0.05</v>
      </c>
      <c r="J8" s="548">
        <v>0.05</v>
      </c>
      <c r="K8" s="548"/>
      <c r="L8" s="548"/>
      <c r="M8" s="548"/>
      <c r="N8" s="548"/>
      <c r="O8" s="548"/>
      <c r="P8" s="548"/>
      <c r="Q8" s="566"/>
      <c r="R8" s="566"/>
      <c r="S8" s="566"/>
      <c r="T8" s="566"/>
      <c r="U8" s="566"/>
      <c r="V8" s="566"/>
      <c r="W8" s="394"/>
      <c r="X8" s="394"/>
      <c r="Y8" s="394"/>
      <c r="Z8" s="394"/>
      <c r="AA8" s="394"/>
      <c r="AB8" s="394"/>
      <c r="AC8" s="394"/>
      <c r="AD8" s="394"/>
      <c r="AE8" s="549"/>
      <c r="AF8" s="606">
        <f t="shared" si="2"/>
        <v>0</v>
      </c>
      <c r="AH8" s="147"/>
      <c r="AI8" s="39"/>
      <c r="AJ8" s="39"/>
    </row>
    <row r="9" spans="1:36" ht="60.75" customHeight="1" x14ac:dyDescent="0.3">
      <c r="A9" s="2279" t="s">
        <v>332</v>
      </c>
      <c r="B9" s="1491" t="s">
        <v>617</v>
      </c>
      <c r="C9" s="567"/>
      <c r="D9" s="567"/>
      <c r="E9" s="567"/>
      <c r="F9" s="567"/>
      <c r="G9" s="568">
        <v>12.89</v>
      </c>
      <c r="H9" s="569">
        <v>12.33</v>
      </c>
      <c r="I9" s="569">
        <v>14.63</v>
      </c>
      <c r="J9" s="570">
        <v>15.6</v>
      </c>
      <c r="K9" s="570">
        <v>15.37</v>
      </c>
      <c r="L9" s="570">
        <v>17.3</v>
      </c>
      <c r="M9" s="571">
        <v>57.83</v>
      </c>
      <c r="N9" s="571">
        <v>65.67</v>
      </c>
      <c r="O9" s="2282">
        <v>15.76</v>
      </c>
      <c r="P9" s="2282"/>
      <c r="Q9" s="2283">
        <v>17.16</v>
      </c>
      <c r="R9" s="2283"/>
      <c r="S9" s="2284">
        <v>14.11</v>
      </c>
      <c r="T9" s="2285"/>
      <c r="U9" s="2286">
        <v>78.5</v>
      </c>
      <c r="V9" s="2287"/>
      <c r="W9" s="2280">
        <v>92.22</v>
      </c>
      <c r="X9" s="2281"/>
      <c r="Y9" s="2280">
        <v>99.38</v>
      </c>
      <c r="Z9" s="2281"/>
      <c r="AA9" s="2280">
        <v>10.7</v>
      </c>
      <c r="AB9" s="2281"/>
      <c r="AC9" s="2262">
        <v>12.05</v>
      </c>
      <c r="AD9" s="2263"/>
      <c r="AE9" s="1492">
        <f>AVERAGE(AA9:AD9)</f>
        <v>11.375</v>
      </c>
      <c r="AF9" s="1493">
        <f>AC9-AA9</f>
        <v>1.3500000000000014</v>
      </c>
      <c r="AG9" s="168">
        <v>1</v>
      </c>
      <c r="AH9" s="147"/>
      <c r="AI9" s="40"/>
      <c r="AJ9" s="309"/>
    </row>
    <row r="10" spans="1:36" ht="58.5" customHeight="1" x14ac:dyDescent="0.3">
      <c r="A10" s="2279"/>
      <c r="B10" s="1491" t="s">
        <v>618</v>
      </c>
      <c r="C10" s="567"/>
      <c r="D10" s="567"/>
      <c r="E10" s="567"/>
      <c r="F10" s="567"/>
      <c r="G10" s="568"/>
      <c r="H10" s="569">
        <v>1.46</v>
      </c>
      <c r="I10" s="2288">
        <v>1.46</v>
      </c>
      <c r="J10" s="2288"/>
      <c r="K10" s="2288">
        <v>0.84</v>
      </c>
      <c r="L10" s="2288"/>
      <c r="M10" s="2288">
        <v>3.34</v>
      </c>
      <c r="N10" s="2288"/>
      <c r="O10" s="2289">
        <v>28.17</v>
      </c>
      <c r="P10" s="2289"/>
      <c r="Q10" s="2283">
        <v>26.59</v>
      </c>
      <c r="R10" s="2283"/>
      <c r="S10" s="2284">
        <v>17</v>
      </c>
      <c r="T10" s="2285"/>
      <c r="U10" s="2286">
        <v>37.78</v>
      </c>
      <c r="V10" s="2287"/>
      <c r="W10" s="2280">
        <v>1.51</v>
      </c>
      <c r="X10" s="2281"/>
      <c r="Y10" s="2280">
        <v>99.38</v>
      </c>
      <c r="Z10" s="2281"/>
      <c r="AA10" s="2280">
        <v>0.57999999999999996</v>
      </c>
      <c r="AB10" s="2281"/>
      <c r="AC10" s="2262">
        <v>2.57</v>
      </c>
      <c r="AD10" s="2263"/>
      <c r="AE10" s="1492">
        <f>AVERAGE(AA10:AD10)</f>
        <v>1.575</v>
      </c>
      <c r="AF10" s="1493">
        <f>AC10-AA10</f>
        <v>1.9899999999999998</v>
      </c>
      <c r="AG10" s="168">
        <v>1</v>
      </c>
      <c r="AH10" s="147"/>
      <c r="AI10" s="41"/>
      <c r="AJ10" s="41"/>
    </row>
    <row r="11" spans="1:36" ht="37.5" hidden="1" customHeight="1" x14ac:dyDescent="0.3">
      <c r="A11" s="2279"/>
      <c r="B11" s="567" t="s">
        <v>40</v>
      </c>
      <c r="C11" s="567"/>
      <c r="D11" s="567"/>
      <c r="E11" s="567"/>
      <c r="F11" s="567"/>
      <c r="G11" s="568"/>
      <c r="H11" s="572">
        <v>1</v>
      </c>
      <c r="I11" s="2290">
        <v>1</v>
      </c>
      <c r="J11" s="2290"/>
      <c r="K11" s="2290">
        <v>1</v>
      </c>
      <c r="L11" s="2290"/>
      <c r="M11" s="2290">
        <v>1</v>
      </c>
      <c r="N11" s="2290"/>
      <c r="O11" s="2288"/>
      <c r="P11" s="2288"/>
      <c r="Q11" s="573"/>
      <c r="R11" s="573"/>
      <c r="S11" s="573"/>
      <c r="T11" s="573"/>
      <c r="U11" s="573"/>
      <c r="V11" s="573"/>
      <c r="W11" s="574"/>
      <c r="X11" s="574"/>
      <c r="Y11" s="574"/>
      <c r="Z11" s="574"/>
      <c r="AA11" s="574"/>
      <c r="AB11" s="574"/>
      <c r="AC11" s="574"/>
      <c r="AD11" s="574"/>
      <c r="AE11" s="549"/>
      <c r="AF11" s="606">
        <f t="shared" si="2"/>
        <v>0</v>
      </c>
      <c r="AH11" s="147"/>
      <c r="AJ11" s="310"/>
    </row>
    <row r="12" spans="1:36" ht="73.5" customHeight="1" x14ac:dyDescent="0.25">
      <c r="A12" s="2279" t="s">
        <v>1308</v>
      </c>
      <c r="B12" s="395" t="s">
        <v>366</v>
      </c>
      <c r="C12" s="392"/>
      <c r="D12" s="392"/>
      <c r="E12" s="392"/>
      <c r="F12" s="392"/>
      <c r="G12" s="392"/>
      <c r="H12" s="392"/>
      <c r="I12" s="392"/>
      <c r="J12" s="392"/>
      <c r="K12" s="392"/>
      <c r="L12" s="392"/>
      <c r="M12" s="392"/>
      <c r="N12" s="392"/>
      <c r="O12" s="575">
        <v>1</v>
      </c>
      <c r="P12" s="392">
        <v>1</v>
      </c>
      <c r="Q12" s="393">
        <v>1</v>
      </c>
      <c r="R12" s="393">
        <v>1</v>
      </c>
      <c r="S12" s="393">
        <v>1</v>
      </c>
      <c r="T12" s="393">
        <v>1</v>
      </c>
      <c r="U12" s="393">
        <v>1</v>
      </c>
      <c r="V12" s="393">
        <v>1</v>
      </c>
      <c r="W12" s="394">
        <v>1</v>
      </c>
      <c r="X12" s="394">
        <v>1</v>
      </c>
      <c r="Y12" s="394">
        <v>1</v>
      </c>
      <c r="Z12" s="394">
        <v>1</v>
      </c>
      <c r="AA12" s="394">
        <v>1</v>
      </c>
      <c r="AB12" s="394">
        <v>1</v>
      </c>
      <c r="AC12" s="973">
        <v>1</v>
      </c>
      <c r="AD12" s="973">
        <v>1</v>
      </c>
      <c r="AE12" s="1299">
        <f t="shared" ref="AE12:AE32" si="3">AVERAGE(AC12:AD12)</f>
        <v>1</v>
      </c>
      <c r="AF12" s="606">
        <f t="shared" ref="AF12:AF32" si="4">AD12-AC12</f>
        <v>0</v>
      </c>
      <c r="AG12" s="168">
        <v>1</v>
      </c>
      <c r="AH12" s="148"/>
      <c r="AI12" s="42"/>
      <c r="AJ12" s="42"/>
    </row>
    <row r="13" spans="1:36" ht="88.5" customHeight="1" x14ac:dyDescent="0.25">
      <c r="A13" s="2279"/>
      <c r="B13" s="395" t="s">
        <v>367</v>
      </c>
      <c r="C13" s="392"/>
      <c r="D13" s="392"/>
      <c r="E13" s="392"/>
      <c r="F13" s="392"/>
      <c r="G13" s="392"/>
      <c r="H13" s="392"/>
      <c r="I13" s="392"/>
      <c r="J13" s="392"/>
      <c r="K13" s="392"/>
      <c r="L13" s="392"/>
      <c r="M13" s="392"/>
      <c r="N13" s="392"/>
      <c r="O13" s="575">
        <v>0.89</v>
      </c>
      <c r="P13" s="392">
        <v>0.81</v>
      </c>
      <c r="Q13" s="393">
        <v>0.85</v>
      </c>
      <c r="R13" s="393">
        <v>0.7</v>
      </c>
      <c r="S13" s="393">
        <v>0.84</v>
      </c>
      <c r="T13" s="393">
        <v>0.76</v>
      </c>
      <c r="U13" s="393">
        <v>0.65</v>
      </c>
      <c r="V13" s="393">
        <v>0.79</v>
      </c>
      <c r="W13" s="394">
        <v>0.96460000000000001</v>
      </c>
      <c r="X13" s="394">
        <v>0.92800000000000005</v>
      </c>
      <c r="Y13" s="394">
        <v>0.8821</v>
      </c>
      <c r="Z13" s="394">
        <v>0.92349999999999999</v>
      </c>
      <c r="AA13" s="394">
        <v>0.86950000000000005</v>
      </c>
      <c r="AB13" s="394">
        <v>0.8982</v>
      </c>
      <c r="AC13" s="973">
        <v>0.91620000000000001</v>
      </c>
      <c r="AD13" s="973">
        <v>0.95240000000000002</v>
      </c>
      <c r="AE13" s="1299">
        <f t="shared" si="3"/>
        <v>0.93430000000000002</v>
      </c>
      <c r="AF13" s="606">
        <f t="shared" si="4"/>
        <v>3.620000000000001E-2</v>
      </c>
      <c r="AG13" s="168">
        <v>1</v>
      </c>
      <c r="AI13" s="42"/>
      <c r="AJ13" s="42"/>
    </row>
    <row r="14" spans="1:36" ht="59.25" customHeight="1" x14ac:dyDescent="0.25">
      <c r="A14" s="2279"/>
      <c r="B14" s="395" t="s">
        <v>368</v>
      </c>
      <c r="C14" s="392"/>
      <c r="D14" s="392"/>
      <c r="E14" s="392"/>
      <c r="F14" s="392"/>
      <c r="G14" s="392"/>
      <c r="H14" s="392"/>
      <c r="I14" s="392"/>
      <c r="J14" s="392"/>
      <c r="K14" s="392"/>
      <c r="L14" s="392"/>
      <c r="M14" s="392"/>
      <c r="N14" s="392"/>
      <c r="O14" s="575">
        <v>0.88</v>
      </c>
      <c r="P14" s="392">
        <v>0.91</v>
      </c>
      <c r="Q14" s="393">
        <v>0.76</v>
      </c>
      <c r="R14" s="393">
        <v>0.9</v>
      </c>
      <c r="S14" s="393">
        <v>0.77</v>
      </c>
      <c r="T14" s="393">
        <v>0.94</v>
      </c>
      <c r="U14" s="393"/>
      <c r="V14" s="393"/>
      <c r="W14" s="394"/>
      <c r="X14" s="394"/>
      <c r="Y14" s="394"/>
      <c r="Z14" s="394"/>
      <c r="AA14" s="394">
        <v>0.66620000000000001</v>
      </c>
      <c r="AB14" s="394">
        <v>0.92559999999999998</v>
      </c>
      <c r="AC14" s="1027">
        <v>0.7238</v>
      </c>
      <c r="AD14" s="1027">
        <v>0.80220000000000002</v>
      </c>
      <c r="AE14" s="1028">
        <f t="shared" si="3"/>
        <v>0.76300000000000001</v>
      </c>
      <c r="AF14" s="606">
        <f t="shared" si="4"/>
        <v>7.8400000000000025E-2</v>
      </c>
      <c r="AG14" s="168">
        <v>1</v>
      </c>
      <c r="AH14" s="148"/>
      <c r="AI14" s="42"/>
      <c r="AJ14" s="42"/>
    </row>
    <row r="15" spans="1:36" ht="25.5" hidden="1" customHeight="1" x14ac:dyDescent="0.25">
      <c r="A15" s="2279"/>
      <c r="B15" s="395" t="s">
        <v>55</v>
      </c>
      <c r="C15" s="392">
        <v>0.86</v>
      </c>
      <c r="D15" s="392">
        <v>0.93</v>
      </c>
      <c r="E15" s="392">
        <v>0.93</v>
      </c>
      <c r="F15" s="392">
        <v>0.93</v>
      </c>
      <c r="G15" s="392">
        <v>0.94</v>
      </c>
      <c r="H15" s="392">
        <v>0.97</v>
      </c>
      <c r="I15" s="392">
        <v>0.96</v>
      </c>
      <c r="J15" s="392">
        <v>0.81</v>
      </c>
      <c r="K15" s="392">
        <v>1</v>
      </c>
      <c r="L15" s="392">
        <v>1</v>
      </c>
      <c r="M15" s="392">
        <v>0.71</v>
      </c>
      <c r="N15" s="392">
        <v>0.97</v>
      </c>
      <c r="O15" s="392"/>
      <c r="P15" s="392"/>
      <c r="Q15" s="393"/>
      <c r="R15" s="393"/>
      <c r="S15" s="393"/>
      <c r="T15" s="393"/>
      <c r="U15" s="393"/>
      <c r="V15" s="393"/>
      <c r="W15" s="394"/>
      <c r="X15" s="394"/>
      <c r="Y15" s="394"/>
      <c r="Z15" s="394"/>
      <c r="AA15" s="394"/>
      <c r="AB15" s="394"/>
      <c r="AC15" s="394"/>
      <c r="AD15" s="394"/>
      <c r="AE15" s="1299" t="e">
        <f t="shared" si="3"/>
        <v>#DIV/0!</v>
      </c>
      <c r="AF15" s="606">
        <f t="shared" si="4"/>
        <v>0</v>
      </c>
      <c r="AH15" s="148"/>
      <c r="AI15" s="42"/>
      <c r="AJ15" s="42"/>
    </row>
    <row r="16" spans="1:36" ht="60" customHeight="1" x14ac:dyDescent="0.25">
      <c r="A16" s="2279"/>
      <c r="B16" s="567" t="s">
        <v>374</v>
      </c>
      <c r="C16" s="392"/>
      <c r="D16" s="392"/>
      <c r="E16" s="392"/>
      <c r="F16" s="392"/>
      <c r="G16" s="392"/>
      <c r="H16" s="392" t="s">
        <v>106</v>
      </c>
      <c r="I16" s="392">
        <v>1</v>
      </c>
      <c r="J16" s="392">
        <v>0.99</v>
      </c>
      <c r="K16" s="392">
        <v>1</v>
      </c>
      <c r="L16" s="392">
        <v>1</v>
      </c>
      <c r="M16" s="392">
        <v>0.99</v>
      </c>
      <c r="N16" s="392">
        <v>0.98</v>
      </c>
      <c r="O16" s="575">
        <v>0.98</v>
      </c>
      <c r="P16" s="392">
        <v>0.98</v>
      </c>
      <c r="Q16" s="393">
        <v>0.98</v>
      </c>
      <c r="R16" s="393">
        <v>0.98</v>
      </c>
      <c r="S16" s="393">
        <v>0.98</v>
      </c>
      <c r="T16" s="393">
        <v>0.98</v>
      </c>
      <c r="U16" s="566">
        <v>0.98699999999999999</v>
      </c>
      <c r="V16" s="566">
        <v>0.97</v>
      </c>
      <c r="W16" s="394">
        <v>0.97689999999999999</v>
      </c>
      <c r="X16" s="394">
        <v>0.9758</v>
      </c>
      <c r="Y16" s="394">
        <v>0.96499999999999997</v>
      </c>
      <c r="Z16" s="394">
        <v>0.96940000000000004</v>
      </c>
      <c r="AA16" s="394">
        <v>0.94540000000000002</v>
      </c>
      <c r="AB16" s="394">
        <v>0.94879999999999998</v>
      </c>
      <c r="AC16" s="973">
        <v>0.95289999999999997</v>
      </c>
      <c r="AD16" s="973">
        <v>0.96699999999999997</v>
      </c>
      <c r="AE16" s="1299">
        <f t="shared" si="3"/>
        <v>0.95994999999999997</v>
      </c>
      <c r="AF16" s="606">
        <f t="shared" si="4"/>
        <v>1.4100000000000001E-2</v>
      </c>
      <c r="AG16" s="168">
        <v>1</v>
      </c>
      <c r="AH16" s="148"/>
      <c r="AI16" s="42"/>
      <c r="AJ16" s="42"/>
    </row>
    <row r="17" spans="1:36" ht="62.25" customHeight="1" x14ac:dyDescent="0.25">
      <c r="A17" s="1301" t="s">
        <v>107</v>
      </c>
      <c r="B17" s="567" t="s">
        <v>550</v>
      </c>
      <c r="C17" s="392">
        <v>0.99</v>
      </c>
      <c r="D17" s="392">
        <v>1</v>
      </c>
      <c r="E17" s="392">
        <v>1</v>
      </c>
      <c r="F17" s="392">
        <v>0.98</v>
      </c>
      <c r="G17" s="392">
        <v>0.98</v>
      </c>
      <c r="H17" s="392">
        <v>1</v>
      </c>
      <c r="I17" s="392">
        <v>1</v>
      </c>
      <c r="J17" s="392">
        <v>1</v>
      </c>
      <c r="K17" s="392">
        <v>1</v>
      </c>
      <c r="L17" s="392">
        <v>1</v>
      </c>
      <c r="M17" s="392">
        <v>1</v>
      </c>
      <c r="N17" s="392">
        <v>1</v>
      </c>
      <c r="O17" s="575">
        <v>0.97</v>
      </c>
      <c r="P17" s="392">
        <v>0.97</v>
      </c>
      <c r="Q17" s="393">
        <v>0.78</v>
      </c>
      <c r="R17" s="393">
        <v>0.63</v>
      </c>
      <c r="S17" s="393">
        <v>0.81</v>
      </c>
      <c r="T17" s="393">
        <v>0.81</v>
      </c>
      <c r="U17" s="393">
        <v>0.79</v>
      </c>
      <c r="V17" s="393">
        <v>0.75</v>
      </c>
      <c r="W17" s="394">
        <v>0.90800000000000003</v>
      </c>
      <c r="X17" s="394">
        <v>0.98709999999999998</v>
      </c>
      <c r="Y17" s="394">
        <v>0.875</v>
      </c>
      <c r="Z17" s="394">
        <v>0.85709999999999997</v>
      </c>
      <c r="AA17" s="394">
        <v>0.99009999999999998</v>
      </c>
      <c r="AB17" s="394">
        <v>0.99</v>
      </c>
      <c r="AC17" s="973">
        <v>0.98919999999999997</v>
      </c>
      <c r="AD17" s="973" t="s">
        <v>1256</v>
      </c>
      <c r="AE17" s="1299">
        <f t="shared" si="3"/>
        <v>0.98919999999999997</v>
      </c>
      <c r="AF17" s="606" t="e">
        <f t="shared" si="4"/>
        <v>#VALUE!</v>
      </c>
      <c r="AG17" s="168">
        <v>1</v>
      </c>
      <c r="AH17" s="148"/>
      <c r="AI17" s="42"/>
      <c r="AJ17" s="42"/>
    </row>
    <row r="18" spans="1:36" ht="96" customHeight="1" x14ac:dyDescent="0.25">
      <c r="A18" s="2279" t="s">
        <v>330</v>
      </c>
      <c r="B18" s="1301" t="s">
        <v>383</v>
      </c>
      <c r="C18" s="392"/>
      <c r="D18" s="392"/>
      <c r="E18" s="392"/>
      <c r="F18" s="392"/>
      <c r="G18" s="392"/>
      <c r="H18" s="392"/>
      <c r="I18" s="392"/>
      <c r="J18" s="392"/>
      <c r="K18" s="392"/>
      <c r="L18" s="392"/>
      <c r="M18" s="392"/>
      <c r="N18" s="392"/>
      <c r="O18" s="392" t="s">
        <v>106</v>
      </c>
      <c r="P18" s="392">
        <v>0.99</v>
      </c>
      <c r="Q18" s="393">
        <v>1</v>
      </c>
      <c r="R18" s="393">
        <v>0.99</v>
      </c>
      <c r="S18" s="393">
        <v>1</v>
      </c>
      <c r="T18" s="393">
        <v>1</v>
      </c>
      <c r="U18" s="393">
        <v>1</v>
      </c>
      <c r="V18" s="393">
        <v>1</v>
      </c>
      <c r="W18" s="394">
        <v>1</v>
      </c>
      <c r="X18" s="394">
        <v>1</v>
      </c>
      <c r="Y18" s="394">
        <v>1</v>
      </c>
      <c r="Z18" s="394">
        <v>0.97440000000000004</v>
      </c>
      <c r="AA18" s="394">
        <v>1</v>
      </c>
      <c r="AB18" s="394">
        <v>1</v>
      </c>
      <c r="AC18" s="973">
        <v>1</v>
      </c>
      <c r="AD18" s="973">
        <v>0.98699999999999999</v>
      </c>
      <c r="AE18" s="1299">
        <f t="shared" si="3"/>
        <v>0.99350000000000005</v>
      </c>
      <c r="AF18" s="606">
        <f t="shared" si="4"/>
        <v>-1.3000000000000012E-2</v>
      </c>
      <c r="AG18" s="168">
        <v>1</v>
      </c>
      <c r="AH18" s="148"/>
      <c r="AI18" s="42"/>
      <c r="AJ18" s="42"/>
    </row>
    <row r="19" spans="1:36" ht="77.25" customHeight="1" x14ac:dyDescent="0.25">
      <c r="A19" s="2279"/>
      <c r="B19" s="1301" t="s">
        <v>517</v>
      </c>
      <c r="C19" s="392"/>
      <c r="D19" s="392"/>
      <c r="E19" s="392"/>
      <c r="F19" s="392"/>
      <c r="G19" s="392"/>
      <c r="H19" s="392"/>
      <c r="I19" s="392"/>
      <c r="J19" s="392"/>
      <c r="K19" s="392"/>
      <c r="L19" s="392"/>
      <c r="M19" s="392"/>
      <c r="N19" s="392"/>
      <c r="O19" s="392" t="s">
        <v>106</v>
      </c>
      <c r="P19" s="392">
        <v>0.99</v>
      </c>
      <c r="Q19" s="393">
        <v>1</v>
      </c>
      <c r="R19" s="393">
        <v>0.99</v>
      </c>
      <c r="S19" s="393">
        <v>1</v>
      </c>
      <c r="T19" s="393">
        <v>0.98</v>
      </c>
      <c r="U19" s="393">
        <v>1</v>
      </c>
      <c r="V19" s="393">
        <v>1</v>
      </c>
      <c r="W19" s="394">
        <v>0.99819999999999998</v>
      </c>
      <c r="X19" s="394">
        <v>0.99199999999999999</v>
      </c>
      <c r="Y19" s="394">
        <v>0.99909999999999999</v>
      </c>
      <c r="Z19" s="394">
        <v>0.97440000000000004</v>
      </c>
      <c r="AA19" s="394">
        <v>1</v>
      </c>
      <c r="AB19" s="394">
        <v>1</v>
      </c>
      <c r="AC19" s="973">
        <v>1</v>
      </c>
      <c r="AD19" s="973">
        <v>1</v>
      </c>
      <c r="AE19" s="1299">
        <f t="shared" si="3"/>
        <v>1</v>
      </c>
      <c r="AF19" s="606">
        <f t="shared" si="4"/>
        <v>0</v>
      </c>
      <c r="AG19" s="168">
        <v>1</v>
      </c>
      <c r="AH19" s="148"/>
      <c r="AI19" s="42"/>
      <c r="AJ19" s="42"/>
    </row>
    <row r="20" spans="1:36" ht="57.75" hidden="1" customHeight="1" x14ac:dyDescent="0.25">
      <c r="A20" s="2279"/>
      <c r="B20" s="576" t="s">
        <v>275</v>
      </c>
      <c r="C20" s="577"/>
      <c r="D20" s="577"/>
      <c r="E20" s="577"/>
      <c r="F20" s="577"/>
      <c r="G20" s="392">
        <v>0.95</v>
      </c>
      <c r="H20" s="392">
        <v>0.86</v>
      </c>
      <c r="I20" s="392">
        <v>0.9</v>
      </c>
      <c r="J20" s="392">
        <v>1</v>
      </c>
      <c r="K20" s="392">
        <v>0.92</v>
      </c>
      <c r="L20" s="392">
        <v>1</v>
      </c>
      <c r="M20" s="392">
        <v>0.96</v>
      </c>
      <c r="N20" s="392">
        <v>0.84</v>
      </c>
      <c r="O20" s="392"/>
      <c r="P20" s="392"/>
      <c r="Q20" s="393"/>
      <c r="R20" s="393"/>
      <c r="S20" s="393"/>
      <c r="T20" s="393"/>
      <c r="U20" s="393"/>
      <c r="V20" s="393"/>
      <c r="W20" s="394"/>
      <c r="X20" s="394"/>
      <c r="Y20" s="394"/>
      <c r="Z20" s="394"/>
      <c r="AA20" s="394"/>
      <c r="AB20" s="394"/>
      <c r="AC20" s="394"/>
      <c r="AD20" s="394"/>
      <c r="AE20" s="1299" t="e">
        <f t="shared" si="3"/>
        <v>#DIV/0!</v>
      </c>
      <c r="AF20" s="606">
        <f t="shared" si="4"/>
        <v>0</v>
      </c>
      <c r="AI20" s="42"/>
      <c r="AJ20" s="42"/>
    </row>
    <row r="21" spans="1:36" ht="60" hidden="1" customHeight="1" x14ac:dyDescent="0.25">
      <c r="A21" s="2279"/>
      <c r="B21" s="576" t="s">
        <v>276</v>
      </c>
      <c r="C21" s="548">
        <v>2.5000000000000001E-2</v>
      </c>
      <c r="D21" s="392">
        <v>0.11</v>
      </c>
      <c r="E21" s="392">
        <v>0</v>
      </c>
      <c r="F21" s="392">
        <v>0</v>
      </c>
      <c r="G21" s="392">
        <v>0.97</v>
      </c>
      <c r="H21" s="392">
        <v>1</v>
      </c>
      <c r="I21" s="392">
        <v>0.87</v>
      </c>
      <c r="J21" s="392">
        <v>1</v>
      </c>
      <c r="K21" s="392">
        <v>0.93</v>
      </c>
      <c r="L21" s="392">
        <v>0.99</v>
      </c>
      <c r="M21" s="392">
        <v>0.96</v>
      </c>
      <c r="N21" s="392">
        <v>0.92</v>
      </c>
      <c r="O21" s="392"/>
      <c r="P21" s="392"/>
      <c r="Q21" s="393"/>
      <c r="R21" s="393"/>
      <c r="S21" s="393"/>
      <c r="T21" s="393"/>
      <c r="U21" s="393"/>
      <c r="V21" s="393"/>
      <c r="W21" s="394"/>
      <c r="X21" s="394"/>
      <c r="Y21" s="394"/>
      <c r="Z21" s="394"/>
      <c r="AA21" s="394"/>
      <c r="AB21" s="394"/>
      <c r="AC21" s="394"/>
      <c r="AD21" s="394"/>
      <c r="AE21" s="1299" t="e">
        <f t="shared" si="3"/>
        <v>#DIV/0!</v>
      </c>
      <c r="AF21" s="606">
        <f t="shared" si="4"/>
        <v>0</v>
      </c>
      <c r="AI21" s="42"/>
      <c r="AJ21" s="42"/>
    </row>
    <row r="22" spans="1:36" ht="56.25" hidden="1" customHeight="1" x14ac:dyDescent="0.25">
      <c r="A22" s="2279"/>
      <c r="B22" s="576" t="s">
        <v>277</v>
      </c>
      <c r="C22" s="392">
        <v>0.92</v>
      </c>
      <c r="D22" s="392">
        <v>0.84299999999999997</v>
      </c>
      <c r="E22" s="392">
        <v>0.92</v>
      </c>
      <c r="F22" s="392">
        <v>1</v>
      </c>
      <c r="G22" s="392">
        <v>1</v>
      </c>
      <c r="H22" s="392">
        <v>1</v>
      </c>
      <c r="I22" s="392">
        <v>0.96</v>
      </c>
      <c r="J22" s="392">
        <v>0.99</v>
      </c>
      <c r="K22" s="392">
        <v>1</v>
      </c>
      <c r="L22" s="548">
        <v>0.995</v>
      </c>
      <c r="M22" s="548">
        <v>1</v>
      </c>
      <c r="N22" s="548">
        <v>0.97</v>
      </c>
      <c r="O22" s="548"/>
      <c r="P22" s="548"/>
      <c r="Q22" s="566"/>
      <c r="R22" s="566"/>
      <c r="S22" s="566"/>
      <c r="T22" s="566"/>
      <c r="U22" s="566"/>
      <c r="V22" s="566"/>
      <c r="W22" s="394"/>
      <c r="X22" s="394"/>
      <c r="Y22" s="394"/>
      <c r="Z22" s="394"/>
      <c r="AA22" s="394"/>
      <c r="AB22" s="394"/>
      <c r="AC22" s="394"/>
      <c r="AD22" s="394"/>
      <c r="AE22" s="1299" t="e">
        <f t="shared" si="3"/>
        <v>#DIV/0!</v>
      </c>
      <c r="AF22" s="606">
        <f t="shared" si="4"/>
        <v>0</v>
      </c>
      <c r="AI22" s="42"/>
      <c r="AJ22" s="42"/>
    </row>
    <row r="23" spans="1:36" ht="55.5" hidden="1" customHeight="1" x14ac:dyDescent="0.25">
      <c r="A23" s="2279"/>
      <c r="B23" s="576" t="s">
        <v>274</v>
      </c>
      <c r="C23" s="392"/>
      <c r="D23" s="392"/>
      <c r="E23" s="392"/>
      <c r="F23" s="392"/>
      <c r="G23" s="392"/>
      <c r="H23" s="392"/>
      <c r="I23" s="392">
        <v>1</v>
      </c>
      <c r="J23" s="392">
        <v>1</v>
      </c>
      <c r="K23" s="392">
        <v>1</v>
      </c>
      <c r="L23" s="392">
        <v>1</v>
      </c>
      <c r="M23" s="392">
        <v>1</v>
      </c>
      <c r="N23" s="392">
        <v>1</v>
      </c>
      <c r="O23" s="392"/>
      <c r="P23" s="392"/>
      <c r="Q23" s="393"/>
      <c r="R23" s="393"/>
      <c r="S23" s="393"/>
      <c r="T23" s="393"/>
      <c r="U23" s="393"/>
      <c r="V23" s="393"/>
      <c r="W23" s="394"/>
      <c r="X23" s="394"/>
      <c r="Y23" s="394"/>
      <c r="Z23" s="394"/>
      <c r="AA23" s="394"/>
      <c r="AB23" s="394"/>
      <c r="AC23" s="394"/>
      <c r="AD23" s="394"/>
      <c r="AE23" s="1299" t="e">
        <f t="shared" si="3"/>
        <v>#DIV/0!</v>
      </c>
      <c r="AF23" s="606">
        <f t="shared" si="4"/>
        <v>0</v>
      </c>
      <c r="AI23" s="42"/>
      <c r="AJ23" s="42"/>
    </row>
    <row r="24" spans="1:36" ht="77.25" customHeight="1" x14ac:dyDescent="0.25">
      <c r="A24" s="2279"/>
      <c r="B24" s="1494" t="s">
        <v>379</v>
      </c>
      <c r="C24" s="392">
        <v>0.92</v>
      </c>
      <c r="D24" s="392">
        <v>0.84299999999999997</v>
      </c>
      <c r="E24" s="392">
        <v>0.92</v>
      </c>
      <c r="F24" s="392">
        <v>1</v>
      </c>
      <c r="G24" s="392">
        <v>1</v>
      </c>
      <c r="H24" s="392">
        <v>1</v>
      </c>
      <c r="I24" s="392">
        <v>0.96</v>
      </c>
      <c r="J24" s="392">
        <v>0.99</v>
      </c>
      <c r="K24" s="392">
        <v>1</v>
      </c>
      <c r="L24" s="392">
        <v>0.99</v>
      </c>
      <c r="M24" s="548">
        <v>0.995</v>
      </c>
      <c r="N24" s="548">
        <v>0.99470000000000003</v>
      </c>
      <c r="O24" s="548">
        <v>1</v>
      </c>
      <c r="P24" s="548">
        <v>0.92200000000000004</v>
      </c>
      <c r="Q24" s="566">
        <v>1</v>
      </c>
      <c r="R24" s="566">
        <v>1</v>
      </c>
      <c r="S24" s="566">
        <v>0.998</v>
      </c>
      <c r="T24" s="566">
        <v>0.99</v>
      </c>
      <c r="U24" s="566">
        <v>0.98299999999999998</v>
      </c>
      <c r="V24" s="566">
        <v>0.98499999999999999</v>
      </c>
      <c r="W24" s="394">
        <v>0.9889</v>
      </c>
      <c r="X24" s="394">
        <v>0.98450000000000004</v>
      </c>
      <c r="Y24" s="394">
        <v>0.99519999999999997</v>
      </c>
      <c r="Z24" s="394">
        <v>0.98950000000000005</v>
      </c>
      <c r="AA24" s="394">
        <v>0.99019999999999997</v>
      </c>
      <c r="AB24" s="394">
        <v>0.99390000000000001</v>
      </c>
      <c r="AC24" s="973">
        <v>0.99319999999999997</v>
      </c>
      <c r="AD24" s="973">
        <v>0.98419999999999996</v>
      </c>
      <c r="AE24" s="1299">
        <f t="shared" si="3"/>
        <v>0.98869999999999991</v>
      </c>
      <c r="AF24" s="606">
        <f t="shared" si="4"/>
        <v>-9.000000000000008E-3</v>
      </c>
      <c r="AG24" s="168">
        <v>1</v>
      </c>
      <c r="AI24" s="42"/>
      <c r="AJ24" s="42"/>
    </row>
    <row r="25" spans="1:36" ht="84" customHeight="1" x14ac:dyDescent="0.25">
      <c r="A25" s="2296" t="s">
        <v>396</v>
      </c>
      <c r="B25" s="1494" t="s">
        <v>738</v>
      </c>
      <c r="C25" s="392">
        <v>0.88</v>
      </c>
      <c r="D25" s="392">
        <v>0.9</v>
      </c>
      <c r="E25" s="392">
        <v>0.89</v>
      </c>
      <c r="F25" s="392">
        <v>0.92</v>
      </c>
      <c r="G25" s="392">
        <v>0.92</v>
      </c>
      <c r="H25" s="392">
        <v>0.9</v>
      </c>
      <c r="I25" s="392">
        <v>0.91</v>
      </c>
      <c r="J25" s="392">
        <v>0.89</v>
      </c>
      <c r="K25" s="392">
        <v>0.85</v>
      </c>
      <c r="L25" s="392">
        <v>0.92</v>
      </c>
      <c r="M25" s="392">
        <v>0.88</v>
      </c>
      <c r="N25" s="392">
        <v>0.9</v>
      </c>
      <c r="O25" s="578">
        <v>0.9</v>
      </c>
      <c r="P25" s="578">
        <v>0.9</v>
      </c>
      <c r="Q25" s="566">
        <v>0.97</v>
      </c>
      <c r="R25" s="566">
        <v>0.92</v>
      </c>
      <c r="S25" s="566">
        <v>0.93600000000000005</v>
      </c>
      <c r="T25" s="566">
        <v>0.98799999999999999</v>
      </c>
      <c r="U25" s="566">
        <v>0.99</v>
      </c>
      <c r="V25" s="566">
        <v>0.99</v>
      </c>
      <c r="W25" s="394">
        <v>0.99750000000000005</v>
      </c>
      <c r="X25" s="394">
        <v>0.99409999999999998</v>
      </c>
      <c r="Y25" s="394">
        <v>0.98909999999999998</v>
      </c>
      <c r="Z25" s="394">
        <v>1</v>
      </c>
      <c r="AA25" s="394">
        <v>0.94399999999999995</v>
      </c>
      <c r="AB25" s="394">
        <v>0.94550000000000001</v>
      </c>
      <c r="AC25" s="973">
        <v>0.96840000000000004</v>
      </c>
      <c r="AD25" s="973">
        <v>0.9869</v>
      </c>
      <c r="AE25" s="1299">
        <f t="shared" si="3"/>
        <v>0.97765000000000002</v>
      </c>
      <c r="AF25" s="606">
        <f t="shared" si="4"/>
        <v>1.8499999999999961E-2</v>
      </c>
      <c r="AG25" s="168">
        <v>1</v>
      </c>
      <c r="AH25" s="149"/>
      <c r="AI25" s="42"/>
      <c r="AJ25" s="42"/>
    </row>
    <row r="26" spans="1:36" ht="61.5" hidden="1" customHeight="1" x14ac:dyDescent="0.25">
      <c r="A26" s="2296"/>
      <c r="B26" s="1494" t="s">
        <v>548</v>
      </c>
      <c r="C26" s="392">
        <v>0.85</v>
      </c>
      <c r="D26" s="392">
        <v>0.85</v>
      </c>
      <c r="E26" s="392">
        <v>0.86</v>
      </c>
      <c r="F26" s="392">
        <v>0.82</v>
      </c>
      <c r="G26" s="392">
        <v>0.94</v>
      </c>
      <c r="H26" s="392">
        <v>0.87</v>
      </c>
      <c r="I26" s="392">
        <v>0.88</v>
      </c>
      <c r="J26" s="392">
        <v>0.9</v>
      </c>
      <c r="K26" s="392">
        <v>0.91</v>
      </c>
      <c r="L26" s="392">
        <v>0.9</v>
      </c>
      <c r="M26" s="392">
        <v>0.94</v>
      </c>
      <c r="N26" s="392">
        <v>0.85</v>
      </c>
      <c r="O26" s="578">
        <v>0.94</v>
      </c>
      <c r="P26" s="578">
        <v>0.91</v>
      </c>
      <c r="Q26" s="566">
        <v>0.92</v>
      </c>
      <c r="R26" s="566">
        <v>0.93</v>
      </c>
      <c r="S26" s="566">
        <v>0.94</v>
      </c>
      <c r="T26" s="566">
        <v>0.91</v>
      </c>
      <c r="U26" s="566">
        <v>0.90800000000000003</v>
      </c>
      <c r="V26" s="566">
        <v>0.94299999999999995</v>
      </c>
      <c r="W26" s="394"/>
      <c r="X26" s="394"/>
      <c r="Y26" s="394"/>
      <c r="Z26" s="394"/>
      <c r="AA26" s="394"/>
      <c r="AB26" s="394"/>
      <c r="AC26" s="394"/>
      <c r="AD26" s="394"/>
      <c r="AE26" s="1299" t="e">
        <f t="shared" si="3"/>
        <v>#DIV/0!</v>
      </c>
      <c r="AF26" s="606">
        <f t="shared" si="4"/>
        <v>0</v>
      </c>
      <c r="AG26" s="168">
        <v>1</v>
      </c>
      <c r="AH26" s="149"/>
      <c r="AI26" s="42"/>
      <c r="AJ26" s="42"/>
    </row>
    <row r="27" spans="1:36" ht="72.75" customHeight="1" x14ac:dyDescent="0.25">
      <c r="A27" s="2279" t="s">
        <v>331</v>
      </c>
      <c r="B27" s="1494" t="s">
        <v>269</v>
      </c>
      <c r="C27" s="392">
        <v>1.25</v>
      </c>
      <c r="D27" s="392">
        <v>0.75</v>
      </c>
      <c r="E27" s="392">
        <v>0.83</v>
      </c>
      <c r="F27" s="392">
        <v>1.1599999999999999</v>
      </c>
      <c r="G27" s="392">
        <v>1</v>
      </c>
      <c r="H27" s="579">
        <v>4.8</v>
      </c>
      <c r="I27" s="579">
        <v>4.9000000000000004</v>
      </c>
      <c r="J27" s="580">
        <v>4.97</v>
      </c>
      <c r="K27" s="581">
        <v>5</v>
      </c>
      <c r="L27" s="580">
        <v>5</v>
      </c>
      <c r="M27" s="580">
        <v>4.82</v>
      </c>
      <c r="N27" s="580">
        <v>5</v>
      </c>
      <c r="O27" s="580">
        <v>5</v>
      </c>
      <c r="P27" s="580">
        <v>5</v>
      </c>
      <c r="Q27" s="582">
        <v>5</v>
      </c>
      <c r="R27" s="582">
        <v>4.54</v>
      </c>
      <c r="S27" s="582">
        <v>5</v>
      </c>
      <c r="T27" s="582">
        <v>4.5</v>
      </c>
      <c r="U27" s="582">
        <v>4.7</v>
      </c>
      <c r="V27" s="582">
        <v>5</v>
      </c>
      <c r="W27" s="550">
        <v>5</v>
      </c>
      <c r="X27" s="550">
        <v>5</v>
      </c>
      <c r="Y27" s="551">
        <v>5</v>
      </c>
      <c r="Z27" s="551">
        <v>4.79</v>
      </c>
      <c r="AA27" s="551">
        <v>4.5</v>
      </c>
      <c r="AB27" s="551">
        <v>4.5</v>
      </c>
      <c r="AC27" s="1495">
        <v>4.6900000000000004</v>
      </c>
      <c r="AD27" s="1495">
        <v>4.5199999999999996</v>
      </c>
      <c r="AE27" s="1495">
        <f t="shared" si="3"/>
        <v>4.6050000000000004</v>
      </c>
      <c r="AF27" s="1495">
        <f t="shared" si="4"/>
        <v>-0.17000000000000082</v>
      </c>
      <c r="AG27" s="168">
        <v>1</v>
      </c>
      <c r="AJ27" s="150"/>
    </row>
    <row r="28" spans="1:36" ht="63" customHeight="1" x14ac:dyDescent="0.25">
      <c r="A28" s="2279"/>
      <c r="B28" s="1494" t="s">
        <v>270</v>
      </c>
      <c r="C28" s="583"/>
      <c r="D28" s="583"/>
      <c r="E28" s="583"/>
      <c r="F28" s="549">
        <f>AVERAGE(F4:F6,F15:F17,F21:F27)</f>
        <v>0.86820000000000008</v>
      </c>
      <c r="G28" s="392">
        <v>1</v>
      </c>
      <c r="H28" s="579">
        <v>4.8</v>
      </c>
      <c r="I28" s="579">
        <v>4.9000000000000004</v>
      </c>
      <c r="J28" s="580">
        <v>4.8899999999999997</v>
      </c>
      <c r="K28" s="580">
        <v>4.95</v>
      </c>
      <c r="L28" s="580">
        <v>5</v>
      </c>
      <c r="M28" s="580">
        <v>4.9400000000000004</v>
      </c>
      <c r="N28" s="580">
        <v>5</v>
      </c>
      <c r="O28" s="580">
        <v>5</v>
      </c>
      <c r="P28" s="580">
        <v>5</v>
      </c>
      <c r="Q28" s="582">
        <v>5</v>
      </c>
      <c r="R28" s="582">
        <v>5</v>
      </c>
      <c r="S28" s="582">
        <v>5</v>
      </c>
      <c r="T28" s="582">
        <v>5</v>
      </c>
      <c r="U28" s="582">
        <v>5</v>
      </c>
      <c r="V28" s="582">
        <v>5</v>
      </c>
      <c r="W28" s="550">
        <v>5</v>
      </c>
      <c r="X28" s="550">
        <v>4.74</v>
      </c>
      <c r="Y28" s="551">
        <v>4.8099999999999996</v>
      </c>
      <c r="Z28" s="551">
        <v>4.68</v>
      </c>
      <c r="AA28" s="551">
        <v>4.5</v>
      </c>
      <c r="AB28" s="551">
        <v>4.5</v>
      </c>
      <c r="AC28" s="1495">
        <v>4.8</v>
      </c>
      <c r="AD28" s="1495">
        <v>4.51</v>
      </c>
      <c r="AE28" s="1495">
        <f t="shared" si="3"/>
        <v>4.6549999999999994</v>
      </c>
      <c r="AF28" s="1495">
        <f t="shared" si="4"/>
        <v>-0.29000000000000004</v>
      </c>
      <c r="AG28" s="168">
        <v>1</v>
      </c>
    </row>
    <row r="29" spans="1:36" ht="76.5" customHeight="1" x14ac:dyDescent="0.25">
      <c r="A29" s="2297" t="s">
        <v>432</v>
      </c>
      <c r="B29" s="1494" t="s">
        <v>415</v>
      </c>
      <c r="C29" s="2299"/>
      <c r="D29" s="2299"/>
      <c r="E29" s="2300"/>
      <c r="F29" s="2300"/>
      <c r="G29" s="1302"/>
      <c r="H29" s="1302"/>
      <c r="I29" s="1302"/>
      <c r="J29" s="1302"/>
      <c r="K29" s="293"/>
      <c r="L29" s="293"/>
      <c r="M29" s="584"/>
      <c r="N29" s="584"/>
      <c r="O29" s="392"/>
      <c r="P29" s="392"/>
      <c r="Q29" s="393">
        <v>0.86</v>
      </c>
      <c r="R29" s="393">
        <v>0.97</v>
      </c>
      <c r="S29" s="393">
        <v>1</v>
      </c>
      <c r="T29" s="393">
        <v>1</v>
      </c>
      <c r="U29" s="393">
        <v>1</v>
      </c>
      <c r="V29" s="393">
        <v>1</v>
      </c>
      <c r="W29" s="394">
        <v>1</v>
      </c>
      <c r="X29" s="394">
        <v>1</v>
      </c>
      <c r="Y29" s="394">
        <v>1</v>
      </c>
      <c r="Z29" s="394">
        <v>1</v>
      </c>
      <c r="AA29" s="394">
        <v>1</v>
      </c>
      <c r="AB29" s="394">
        <v>1</v>
      </c>
      <c r="AC29" s="973">
        <v>1</v>
      </c>
      <c r="AD29" s="973">
        <v>1</v>
      </c>
      <c r="AE29" s="1299">
        <f t="shared" si="3"/>
        <v>1</v>
      </c>
      <c r="AF29" s="606">
        <f t="shared" si="4"/>
        <v>0</v>
      </c>
      <c r="AG29" s="168">
        <v>1</v>
      </c>
    </row>
    <row r="30" spans="1:36" ht="76.5" customHeight="1" x14ac:dyDescent="0.25">
      <c r="A30" s="2298"/>
      <c r="B30" s="1494" t="s">
        <v>548</v>
      </c>
      <c r="C30" s="1496"/>
      <c r="D30" s="1496"/>
      <c r="E30" s="1302"/>
      <c r="F30" s="1302"/>
      <c r="G30" s="1302"/>
      <c r="H30" s="1302"/>
      <c r="I30" s="1302"/>
      <c r="J30" s="1302"/>
      <c r="K30" s="293"/>
      <c r="L30" s="293"/>
      <c r="M30" s="584"/>
      <c r="N30" s="584"/>
      <c r="O30" s="392"/>
      <c r="P30" s="392"/>
      <c r="Q30" s="393"/>
      <c r="R30" s="393"/>
      <c r="S30" s="393"/>
      <c r="T30" s="393"/>
      <c r="U30" s="393"/>
      <c r="V30" s="393"/>
      <c r="W30" s="394">
        <v>0.95189999999999997</v>
      </c>
      <c r="X30" s="394">
        <v>0.95399999999999996</v>
      </c>
      <c r="Y30" s="394">
        <v>1</v>
      </c>
      <c r="Z30" s="394">
        <v>1</v>
      </c>
      <c r="AA30" s="394">
        <v>1</v>
      </c>
      <c r="AB30" s="394">
        <v>1</v>
      </c>
      <c r="AC30" s="973">
        <v>1</v>
      </c>
      <c r="AD30" s="973">
        <v>1</v>
      </c>
      <c r="AE30" s="1299">
        <f t="shared" si="3"/>
        <v>1</v>
      </c>
      <c r="AF30" s="606">
        <f t="shared" si="4"/>
        <v>0</v>
      </c>
      <c r="AG30" s="168">
        <v>1</v>
      </c>
    </row>
    <row r="31" spans="1:36" ht="76.5" customHeight="1" x14ac:dyDescent="0.25">
      <c r="A31" s="826" t="s">
        <v>472</v>
      </c>
      <c r="B31" s="1494" t="s">
        <v>984</v>
      </c>
      <c r="C31" s="1496"/>
      <c r="D31" s="1496"/>
      <c r="E31" s="1302"/>
      <c r="F31" s="1302"/>
      <c r="G31" s="1302"/>
      <c r="H31" s="1302"/>
      <c r="I31" s="1302"/>
      <c r="J31" s="1302"/>
      <c r="K31" s="293"/>
      <c r="L31" s="293"/>
      <c r="M31" s="584"/>
      <c r="N31" s="584"/>
      <c r="O31" s="392"/>
      <c r="P31" s="392"/>
      <c r="Q31" s="393"/>
      <c r="R31" s="393"/>
      <c r="S31" s="393"/>
      <c r="T31" s="393"/>
      <c r="U31" s="393">
        <v>1</v>
      </c>
      <c r="V31" s="393">
        <v>1</v>
      </c>
      <c r="W31" s="394">
        <v>1</v>
      </c>
      <c r="X31" s="394">
        <v>1</v>
      </c>
      <c r="Y31" s="394">
        <v>1</v>
      </c>
      <c r="Z31" s="394">
        <v>1</v>
      </c>
      <c r="AA31" s="394">
        <v>1</v>
      </c>
      <c r="AB31" s="394">
        <v>1</v>
      </c>
      <c r="AC31" s="1027">
        <v>0.89239999999999997</v>
      </c>
      <c r="AD31" s="1027">
        <v>0.80740000000000001</v>
      </c>
      <c r="AE31" s="1028">
        <f t="shared" si="3"/>
        <v>0.84989999999999999</v>
      </c>
      <c r="AF31" s="606">
        <f t="shared" si="4"/>
        <v>-8.4999999999999964E-2</v>
      </c>
      <c r="AG31" s="168">
        <v>1</v>
      </c>
    </row>
    <row r="32" spans="1:36" ht="76.5" customHeight="1" x14ac:dyDescent="0.25">
      <c r="A32" s="1301" t="s">
        <v>140</v>
      </c>
      <c r="B32" s="1494" t="s">
        <v>356</v>
      </c>
      <c r="C32" s="2299">
        <v>0.73</v>
      </c>
      <c r="D32" s="2299"/>
      <c r="E32" s="2300">
        <v>0.92</v>
      </c>
      <c r="F32" s="2300"/>
      <c r="G32" s="1302">
        <v>1</v>
      </c>
      <c r="H32" s="1302">
        <v>1</v>
      </c>
      <c r="I32" s="1302">
        <v>0.93</v>
      </c>
      <c r="J32" s="1302">
        <v>0.96</v>
      </c>
      <c r="K32" s="293">
        <v>0.95</v>
      </c>
      <c r="L32" s="293">
        <v>1</v>
      </c>
      <c r="M32" s="584"/>
      <c r="N32" s="584"/>
      <c r="O32" s="392">
        <v>1</v>
      </c>
      <c r="P32" s="392">
        <v>1</v>
      </c>
      <c r="Q32" s="393">
        <v>1</v>
      </c>
      <c r="R32" s="393">
        <v>1</v>
      </c>
      <c r="S32" s="393">
        <v>1</v>
      </c>
      <c r="T32" s="393">
        <v>1</v>
      </c>
      <c r="U32" s="393">
        <v>1</v>
      </c>
      <c r="V32" s="393">
        <v>1</v>
      </c>
      <c r="W32" s="394">
        <v>1</v>
      </c>
      <c r="X32" s="394">
        <v>1</v>
      </c>
      <c r="Y32" s="394">
        <v>0.5</v>
      </c>
      <c r="Z32" s="394">
        <v>0.83330000000000004</v>
      </c>
      <c r="AA32" s="394">
        <v>1</v>
      </c>
      <c r="AB32" s="394">
        <v>1</v>
      </c>
      <c r="AC32" s="973">
        <v>1</v>
      </c>
      <c r="AD32" s="973">
        <v>1</v>
      </c>
      <c r="AE32" s="1299">
        <f t="shared" si="3"/>
        <v>1</v>
      </c>
      <c r="AF32" s="606">
        <f t="shared" si="4"/>
        <v>0</v>
      </c>
      <c r="AG32" s="168">
        <v>1</v>
      </c>
    </row>
    <row r="33" spans="1:37" ht="47.25" thickBot="1" x14ac:dyDescent="0.3">
      <c r="A33" s="2301" t="s">
        <v>1290</v>
      </c>
      <c r="B33" s="2301"/>
      <c r="G33" s="148">
        <f>AVERAGE(G4:G26)</f>
        <v>1.9616666666666669</v>
      </c>
      <c r="H33" s="151">
        <v>0.94</v>
      </c>
      <c r="I33" s="151">
        <v>0.93</v>
      </c>
      <c r="J33" s="151" t="e">
        <f>AVERAGE(J4,J5,J6,J8,I11,#REF!,J12:J26)</f>
        <v>#REF!</v>
      </c>
      <c r="K33" s="151" t="e">
        <f>AVERAGE(K4,K5,K6,K8,J11,#REF!,K12:K26)</f>
        <v>#REF!</v>
      </c>
      <c r="L33" s="152" t="e">
        <f>AVERAGE(L4,L5,L6,L8,K11,#REF!,L12:L26)</f>
        <v>#REF!</v>
      </c>
      <c r="M33" s="311" t="e">
        <f>AVERAGE(M4,M5,M6,M8,L11,#REF!,M12:M26)</f>
        <v>#REF!</v>
      </c>
      <c r="N33" s="311" t="e">
        <f>AVERAGE(N4,N5,N6,N8,M11,#REF!,N12:N26)</f>
        <v>#REF!</v>
      </c>
      <c r="O33" s="311" t="e">
        <f>AVERAGE(O4,O5,O6,O8,N11,#REF!,O12:O26,O32)</f>
        <v>#REF!</v>
      </c>
      <c r="P33" s="311" t="e">
        <f>AVERAGE(P4,P5,P6,P8,O11,#REF!,P12:P26,P32)</f>
        <v>#REF!</v>
      </c>
      <c r="Q33" s="312" t="e">
        <f>AVERAGE(Q4,Q5,Q6,Q8,P11,#REF!,Q12:Q26,Q29:Q32)</f>
        <v>#REF!</v>
      </c>
      <c r="R33" s="312" t="e">
        <f>AVERAGE(R4,R5,R6,R8,Q11,#REF!,R12:R26,R29:R32)</f>
        <v>#REF!</v>
      </c>
      <c r="S33" s="292">
        <f>AVERAGE(S4:S6,S12:S26,S29:S32)</f>
        <v>0.94093333333333329</v>
      </c>
      <c r="T33" s="292">
        <f>AVERAGE(T4:T6,T12:T26,T29:T32)</f>
        <v>0.94920000000000004</v>
      </c>
      <c r="U33" s="449">
        <f>AVERAGE(U4:U6,U12:U26,U29:U32)</f>
        <v>0.94986666666666675</v>
      </c>
      <c r="V33" s="449">
        <v>0.97</v>
      </c>
      <c r="W33" s="441">
        <f t="shared" ref="W33:AB33" si="5">AVERAGE(W4:W6,W12:W26,W29:W32)</f>
        <v>0.97531333333333337</v>
      </c>
      <c r="X33" s="441">
        <f t="shared" si="5"/>
        <v>0.98150000000000004</v>
      </c>
      <c r="Y33" s="441">
        <f t="shared" si="5"/>
        <v>0.93981999999999999</v>
      </c>
      <c r="Z33" s="441">
        <f t="shared" si="5"/>
        <v>0.95316000000000001</v>
      </c>
      <c r="AA33" s="441">
        <f>AVERAGE(AA4:AA6,AA12:AA26,AA29:AA32)</f>
        <v>0.9563625</v>
      </c>
      <c r="AB33" s="441">
        <f t="shared" si="5"/>
        <v>0.97419374999999997</v>
      </c>
      <c r="AC33" s="441">
        <f>16/18</f>
        <v>0.88888888888888884</v>
      </c>
      <c r="AD33" s="441">
        <f>18/20</f>
        <v>0.9</v>
      </c>
      <c r="AE33" s="1361">
        <f>18/20</f>
        <v>0.9</v>
      </c>
      <c r="AG33" s="1356">
        <f>SUM(AG5:AG32)</f>
        <v>20</v>
      </c>
      <c r="AH33" s="1357" t="s">
        <v>110</v>
      </c>
    </row>
    <row r="34" spans="1:37" ht="10.5" customHeight="1" thickBot="1" x14ac:dyDescent="0.3">
      <c r="A34" s="2304"/>
      <c r="B34" s="2305"/>
      <c r="C34" s="2305"/>
      <c r="D34" s="2305"/>
      <c r="E34" s="2305"/>
      <c r="F34" s="2305"/>
      <c r="G34" s="2305"/>
      <c r="H34" s="2305"/>
      <c r="I34" s="2305"/>
      <c r="J34" s="2305"/>
      <c r="K34" s="2305"/>
      <c r="L34" s="2305"/>
      <c r="M34" s="2305"/>
      <c r="N34" s="2305"/>
      <c r="O34" s="2305"/>
      <c r="P34" s="2305"/>
      <c r="Q34" s="2305"/>
      <c r="R34" s="2305"/>
      <c r="S34" s="2305"/>
      <c r="T34" s="2305"/>
      <c r="U34" s="2305"/>
      <c r="V34" s="2305"/>
      <c r="W34" s="2305"/>
      <c r="X34" s="2305"/>
      <c r="Y34" s="2305"/>
      <c r="Z34" s="2305"/>
      <c r="AA34" s="2305"/>
      <c r="AB34" s="2305"/>
      <c r="AC34" s="2305"/>
      <c r="AD34" s="2305"/>
      <c r="AE34" s="2305"/>
      <c r="AF34" s="2305"/>
      <c r="AG34" s="2305"/>
    </row>
    <row r="35" spans="1:37" ht="18" customHeight="1" thickBot="1" x14ac:dyDescent="0.35">
      <c r="H35" s="148"/>
      <c r="AE35" s="146"/>
      <c r="AI35" s="2302" t="s">
        <v>589</v>
      </c>
      <c r="AJ35" s="2294" t="s">
        <v>569</v>
      </c>
      <c r="AK35" s="2295"/>
    </row>
    <row r="36" spans="1:37" ht="21" thickBot="1" x14ac:dyDescent="0.35">
      <c r="AI36" s="2303"/>
      <c r="AJ36" s="585" t="s">
        <v>590</v>
      </c>
      <c r="AK36" s="585" t="s">
        <v>141</v>
      </c>
    </row>
    <row r="37" spans="1:37" ht="21" thickBot="1" x14ac:dyDescent="0.35">
      <c r="AI37" s="1362" t="s">
        <v>591</v>
      </c>
      <c r="AJ37" s="586">
        <v>19</v>
      </c>
      <c r="AK37" s="587">
        <f>AJ37/$AJ$41</f>
        <v>0.95</v>
      </c>
    </row>
    <row r="38" spans="1:37" ht="13.5" customHeight="1" thickBot="1" x14ac:dyDescent="0.35">
      <c r="AI38" s="1363" t="s">
        <v>592</v>
      </c>
      <c r="AJ38" s="586">
        <v>1</v>
      </c>
      <c r="AK38" s="587">
        <f>AJ38/$AJ$41</f>
        <v>0.05</v>
      </c>
    </row>
    <row r="39" spans="1:37" ht="21" thickBot="1" x14ac:dyDescent="0.35">
      <c r="AI39" s="1364" t="s">
        <v>593</v>
      </c>
      <c r="AJ39" s="588">
        <v>0</v>
      </c>
      <c r="AK39" s="587">
        <f>AJ39/$AJ$41</f>
        <v>0</v>
      </c>
    </row>
    <row r="40" spans="1:37" ht="21" thickBot="1" x14ac:dyDescent="0.35">
      <c r="AI40" s="1365" t="s">
        <v>594</v>
      </c>
      <c r="AJ40" s="589">
        <v>0</v>
      </c>
      <c r="AK40" s="587">
        <f>AJ40/$AJ$41</f>
        <v>0</v>
      </c>
    </row>
    <row r="41" spans="1:37" ht="21" thickBot="1" x14ac:dyDescent="0.35">
      <c r="AI41" s="590" t="s">
        <v>595</v>
      </c>
      <c r="AJ41" s="591">
        <f>SUM(AJ37:AJ40)</f>
        <v>20</v>
      </c>
      <c r="AK41" s="592">
        <f>SUM(AK37:AK40)</f>
        <v>1</v>
      </c>
    </row>
    <row r="42" spans="1:37" ht="323.25" customHeight="1" thickBot="1" x14ac:dyDescent="0.3">
      <c r="A42" s="2291" t="s">
        <v>1302</v>
      </c>
      <c r="B42" s="2292"/>
      <c r="C42" s="2292"/>
      <c r="D42" s="2292"/>
      <c r="E42" s="2292"/>
      <c r="F42" s="2292"/>
      <c r="G42" s="2292"/>
      <c r="H42" s="2292"/>
      <c r="I42" s="2292"/>
      <c r="J42" s="2292"/>
      <c r="K42" s="2292"/>
      <c r="L42" s="2292"/>
      <c r="M42" s="2292"/>
      <c r="N42" s="2292"/>
      <c r="O42" s="2292"/>
      <c r="P42" s="2292"/>
      <c r="Q42" s="2292"/>
      <c r="R42" s="2292"/>
      <c r="S42" s="2292"/>
      <c r="T42" s="2292"/>
      <c r="U42" s="2292"/>
      <c r="V42" s="2292"/>
      <c r="W42" s="2292"/>
      <c r="X42" s="2292"/>
      <c r="Y42" s="2292"/>
      <c r="Z42" s="2292"/>
      <c r="AA42" s="2292"/>
      <c r="AB42" s="2292"/>
      <c r="AC42" s="2292"/>
      <c r="AD42" s="2292"/>
      <c r="AE42" s="2292"/>
      <c r="AF42" s="2292"/>
      <c r="AG42" s="2292"/>
      <c r="AH42" s="2293"/>
    </row>
    <row r="43" spans="1:37" ht="15.75" thickBot="1" x14ac:dyDescent="0.3">
      <c r="A43" s="2291"/>
      <c r="B43" s="2292"/>
      <c r="C43" s="2292"/>
      <c r="D43" s="2292"/>
      <c r="E43" s="2292"/>
      <c r="F43" s="2292"/>
      <c r="G43" s="2292"/>
      <c r="H43" s="2292"/>
      <c r="I43" s="2292"/>
      <c r="J43" s="2292"/>
      <c r="K43" s="2292"/>
      <c r="L43" s="2292"/>
      <c r="M43" s="2292"/>
      <c r="N43" s="2292"/>
      <c r="O43" s="2292"/>
      <c r="P43" s="2292"/>
      <c r="Q43" s="2292"/>
      <c r="R43" s="2292"/>
      <c r="S43" s="2292"/>
      <c r="T43" s="2292"/>
      <c r="U43" s="2292"/>
      <c r="V43" s="2292"/>
      <c r="W43" s="2292"/>
      <c r="X43" s="2292"/>
      <c r="Y43" s="2292"/>
      <c r="Z43" s="2292"/>
      <c r="AA43" s="2292"/>
      <c r="AB43" s="2292"/>
      <c r="AC43" s="2292"/>
      <c r="AD43" s="2292"/>
      <c r="AE43" s="2292"/>
      <c r="AF43" s="2292"/>
      <c r="AG43" s="2292"/>
      <c r="AH43" s="2293"/>
    </row>
  </sheetData>
  <mergeCells count="55">
    <mergeCell ref="A42:AH42"/>
    <mergeCell ref="A43:AH43"/>
    <mergeCell ref="AJ35:AK35"/>
    <mergeCell ref="A12:A16"/>
    <mergeCell ref="A18:A24"/>
    <mergeCell ref="A25:A26"/>
    <mergeCell ref="A27:A28"/>
    <mergeCell ref="A29:A30"/>
    <mergeCell ref="C29:D29"/>
    <mergeCell ref="E29:F29"/>
    <mergeCell ref="C32:D32"/>
    <mergeCell ref="E32:F32"/>
    <mergeCell ref="A33:B33"/>
    <mergeCell ref="AI35:AI36"/>
    <mergeCell ref="A34:AG34"/>
    <mergeCell ref="W10:X10"/>
    <mergeCell ref="Y10:Z10"/>
    <mergeCell ref="AA10:AB10"/>
    <mergeCell ref="I11:J11"/>
    <mergeCell ref="K11:L11"/>
    <mergeCell ref="M11:N11"/>
    <mergeCell ref="O11:P11"/>
    <mergeCell ref="U10:V10"/>
    <mergeCell ref="A4:A5"/>
    <mergeCell ref="A6:A8"/>
    <mergeCell ref="W9:X9"/>
    <mergeCell ref="Y9:Z9"/>
    <mergeCell ref="AA9:AB9"/>
    <mergeCell ref="A9:A11"/>
    <mergeCell ref="O9:P9"/>
    <mergeCell ref="Q9:R9"/>
    <mergeCell ref="S9:T9"/>
    <mergeCell ref="U9:V9"/>
    <mergeCell ref="I10:J10"/>
    <mergeCell ref="K10:L10"/>
    <mergeCell ref="M10:N10"/>
    <mergeCell ref="O10:P10"/>
    <mergeCell ref="Q10:R10"/>
    <mergeCell ref="S10:T10"/>
    <mergeCell ref="AC9:AD9"/>
    <mergeCell ref="AC10:AD10"/>
    <mergeCell ref="A1:AF1"/>
    <mergeCell ref="A2:A3"/>
    <mergeCell ref="B2:B3"/>
    <mergeCell ref="C2:D2"/>
    <mergeCell ref="H2:N2"/>
    <mergeCell ref="O2:P2"/>
    <mergeCell ref="Q2:T2"/>
    <mergeCell ref="U2:V2"/>
    <mergeCell ref="W2:X2"/>
    <mergeCell ref="Y2:Z2"/>
    <mergeCell ref="AA2:AB2"/>
    <mergeCell ref="AE2:AE3"/>
    <mergeCell ref="AF2:AF3"/>
    <mergeCell ref="AC2:AD2"/>
  </mergeCells>
  <pageMargins left="0.7" right="0.7" top="1.3149999999999999" bottom="0.75" header="0.3" footer="0.3"/>
  <pageSetup paperSize="9" scale="34" orientation="portrait" r:id="rId1"/>
  <headerFooter alignWithMargins="0"/>
  <colBreaks count="1" manualBreakCount="1">
    <brk id="34"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M104"/>
  <sheetViews>
    <sheetView zoomScaleNormal="100" workbookViewId="0">
      <pane xSplit="2" ySplit="4" topLeftCell="AD103" activePane="bottomRight" state="frozen"/>
      <selection activeCell="AB33" sqref="AB33:AC33"/>
      <selection pane="topRight" activeCell="AB33" sqref="AB33:AC33"/>
      <selection pane="bottomLeft" activeCell="AB33" sqref="AB33:AC33"/>
      <selection pane="bottomRight" activeCell="AL103" sqref="AL102:AL103"/>
    </sheetView>
  </sheetViews>
  <sheetFormatPr baseColWidth="10" defaultRowHeight="12.75" x14ac:dyDescent="0.2"/>
  <cols>
    <col min="1" max="1" width="1.85546875" style="48" customWidth="1"/>
    <col min="2" max="2" width="19" style="974" customWidth="1"/>
    <col min="3" max="3" width="31.42578125" style="21" customWidth="1"/>
    <col min="4" max="27" width="5.28515625" style="48" hidden="1" customWidth="1"/>
    <col min="28" max="28" width="10.85546875" style="48" customWidth="1"/>
    <col min="29" max="31" width="12.28515625" style="48" customWidth="1"/>
    <col min="32" max="32" width="14.85546875" style="48" customWidth="1"/>
    <col min="33" max="33" width="16.42578125" style="975" customWidth="1"/>
    <col min="34" max="34" width="11.42578125" style="781"/>
    <col min="35" max="35" width="3" style="48" customWidth="1"/>
    <col min="36" max="36" width="14" style="48" customWidth="1"/>
    <col min="37" max="37" width="35" style="48" customWidth="1"/>
    <col min="38" max="38" width="16.140625" style="48" customWidth="1"/>
    <col min="39" max="39" width="13.42578125" style="48" customWidth="1"/>
    <col min="40" max="275" width="11.42578125" style="48"/>
    <col min="276" max="276" width="1.85546875" style="48" customWidth="1"/>
    <col min="277" max="277" width="19" style="48" customWidth="1"/>
    <col min="278" max="278" width="32.7109375" style="48" customWidth="1"/>
    <col min="279" max="284" width="0" style="48" hidden="1" customWidth="1"/>
    <col min="285" max="287" width="11" style="48" customWidth="1"/>
    <col min="288" max="288" width="8.5703125" style="48" customWidth="1"/>
    <col min="289" max="289" width="14.28515625" style="48" customWidth="1"/>
    <col min="290" max="531" width="11.42578125" style="48"/>
    <col min="532" max="532" width="1.85546875" style="48" customWidth="1"/>
    <col min="533" max="533" width="19" style="48" customWidth="1"/>
    <col min="534" max="534" width="32.7109375" style="48" customWidth="1"/>
    <col min="535" max="540" width="0" style="48" hidden="1" customWidth="1"/>
    <col min="541" max="543" width="11" style="48" customWidth="1"/>
    <col min="544" max="544" width="8.5703125" style="48" customWidth="1"/>
    <col min="545" max="545" width="14.28515625" style="48" customWidth="1"/>
    <col min="546" max="787" width="11.42578125" style="48"/>
    <col min="788" max="788" width="1.85546875" style="48" customWidth="1"/>
    <col min="789" max="789" width="19" style="48" customWidth="1"/>
    <col min="790" max="790" width="32.7109375" style="48" customWidth="1"/>
    <col min="791" max="796" width="0" style="48" hidden="1" customWidth="1"/>
    <col min="797" max="799" width="11" style="48" customWidth="1"/>
    <col min="800" max="800" width="8.5703125" style="48" customWidth="1"/>
    <col min="801" max="801" width="14.28515625" style="48" customWidth="1"/>
    <col min="802" max="1043" width="11.42578125" style="48"/>
    <col min="1044" max="1044" width="1.85546875" style="48" customWidth="1"/>
    <col min="1045" max="1045" width="19" style="48" customWidth="1"/>
    <col min="1046" max="1046" width="32.7109375" style="48" customWidth="1"/>
    <col min="1047" max="1052" width="0" style="48" hidden="1" customWidth="1"/>
    <col min="1053" max="1055" width="11" style="48" customWidth="1"/>
    <col min="1056" max="1056" width="8.5703125" style="48" customWidth="1"/>
    <col min="1057" max="1057" width="14.28515625" style="48" customWidth="1"/>
    <col min="1058" max="1299" width="11.42578125" style="48"/>
    <col min="1300" max="1300" width="1.85546875" style="48" customWidth="1"/>
    <col min="1301" max="1301" width="19" style="48" customWidth="1"/>
    <col min="1302" max="1302" width="32.7109375" style="48" customWidth="1"/>
    <col min="1303" max="1308" width="0" style="48" hidden="1" customWidth="1"/>
    <col min="1309" max="1311" width="11" style="48" customWidth="1"/>
    <col min="1312" max="1312" width="8.5703125" style="48" customWidth="1"/>
    <col min="1313" max="1313" width="14.28515625" style="48" customWidth="1"/>
    <col min="1314" max="1555" width="11.42578125" style="48"/>
    <col min="1556" max="1556" width="1.85546875" style="48" customWidth="1"/>
    <col min="1557" max="1557" width="19" style="48" customWidth="1"/>
    <col min="1558" max="1558" width="32.7109375" style="48" customWidth="1"/>
    <col min="1559" max="1564" width="0" style="48" hidden="1" customWidth="1"/>
    <col min="1565" max="1567" width="11" style="48" customWidth="1"/>
    <col min="1568" max="1568" width="8.5703125" style="48" customWidth="1"/>
    <col min="1569" max="1569" width="14.28515625" style="48" customWidth="1"/>
    <col min="1570" max="1811" width="11.42578125" style="48"/>
    <col min="1812" max="1812" width="1.85546875" style="48" customWidth="1"/>
    <col min="1813" max="1813" width="19" style="48" customWidth="1"/>
    <col min="1814" max="1814" width="32.7109375" style="48" customWidth="1"/>
    <col min="1815" max="1820" width="0" style="48" hidden="1" customWidth="1"/>
    <col min="1821" max="1823" width="11" style="48" customWidth="1"/>
    <col min="1824" max="1824" width="8.5703125" style="48" customWidth="1"/>
    <col min="1825" max="1825" width="14.28515625" style="48" customWidth="1"/>
    <col min="1826" max="2067" width="11.42578125" style="48"/>
    <col min="2068" max="2068" width="1.85546875" style="48" customWidth="1"/>
    <col min="2069" max="2069" width="19" style="48" customWidth="1"/>
    <col min="2070" max="2070" width="32.7109375" style="48" customWidth="1"/>
    <col min="2071" max="2076" width="0" style="48" hidden="1" customWidth="1"/>
    <col min="2077" max="2079" width="11" style="48" customWidth="1"/>
    <col min="2080" max="2080" width="8.5703125" style="48" customWidth="1"/>
    <col min="2081" max="2081" width="14.28515625" style="48" customWidth="1"/>
    <col min="2082" max="2323" width="11.42578125" style="48"/>
    <col min="2324" max="2324" width="1.85546875" style="48" customWidth="1"/>
    <col min="2325" max="2325" width="19" style="48" customWidth="1"/>
    <col min="2326" max="2326" width="32.7109375" style="48" customWidth="1"/>
    <col min="2327" max="2332" width="0" style="48" hidden="1" customWidth="1"/>
    <col min="2333" max="2335" width="11" style="48" customWidth="1"/>
    <col min="2336" max="2336" width="8.5703125" style="48" customWidth="1"/>
    <col min="2337" max="2337" width="14.28515625" style="48" customWidth="1"/>
    <col min="2338" max="2579" width="11.42578125" style="48"/>
    <col min="2580" max="2580" width="1.85546875" style="48" customWidth="1"/>
    <col min="2581" max="2581" width="19" style="48" customWidth="1"/>
    <col min="2582" max="2582" width="32.7109375" style="48" customWidth="1"/>
    <col min="2583" max="2588" width="0" style="48" hidden="1" customWidth="1"/>
    <col min="2589" max="2591" width="11" style="48" customWidth="1"/>
    <col min="2592" max="2592" width="8.5703125" style="48" customWidth="1"/>
    <col min="2593" max="2593" width="14.28515625" style="48" customWidth="1"/>
    <col min="2594" max="2835" width="11.42578125" style="48"/>
    <col min="2836" max="2836" width="1.85546875" style="48" customWidth="1"/>
    <col min="2837" max="2837" width="19" style="48" customWidth="1"/>
    <col min="2838" max="2838" width="32.7109375" style="48" customWidth="1"/>
    <col min="2839" max="2844" width="0" style="48" hidden="1" customWidth="1"/>
    <col min="2845" max="2847" width="11" style="48" customWidth="1"/>
    <col min="2848" max="2848" width="8.5703125" style="48" customWidth="1"/>
    <col min="2849" max="2849" width="14.28515625" style="48" customWidth="1"/>
    <col min="2850" max="3091" width="11.42578125" style="48"/>
    <col min="3092" max="3092" width="1.85546875" style="48" customWidth="1"/>
    <col min="3093" max="3093" width="19" style="48" customWidth="1"/>
    <col min="3094" max="3094" width="32.7109375" style="48" customWidth="1"/>
    <col min="3095" max="3100" width="0" style="48" hidden="1" customWidth="1"/>
    <col min="3101" max="3103" width="11" style="48" customWidth="1"/>
    <col min="3104" max="3104" width="8.5703125" style="48" customWidth="1"/>
    <col min="3105" max="3105" width="14.28515625" style="48" customWidth="1"/>
    <col min="3106" max="3347" width="11.42578125" style="48"/>
    <col min="3348" max="3348" width="1.85546875" style="48" customWidth="1"/>
    <col min="3349" max="3349" width="19" style="48" customWidth="1"/>
    <col min="3350" max="3350" width="32.7109375" style="48" customWidth="1"/>
    <col min="3351" max="3356" width="0" style="48" hidden="1" customWidth="1"/>
    <col min="3357" max="3359" width="11" style="48" customWidth="1"/>
    <col min="3360" max="3360" width="8.5703125" style="48" customWidth="1"/>
    <col min="3361" max="3361" width="14.28515625" style="48" customWidth="1"/>
    <col min="3362" max="3603" width="11.42578125" style="48"/>
    <col min="3604" max="3604" width="1.85546875" style="48" customWidth="1"/>
    <col min="3605" max="3605" width="19" style="48" customWidth="1"/>
    <col min="3606" max="3606" width="32.7109375" style="48" customWidth="1"/>
    <col min="3607" max="3612" width="0" style="48" hidden="1" customWidth="1"/>
    <col min="3613" max="3615" width="11" style="48" customWidth="1"/>
    <col min="3616" max="3616" width="8.5703125" style="48" customWidth="1"/>
    <col min="3617" max="3617" width="14.28515625" style="48" customWidth="1"/>
    <col min="3618" max="3859" width="11.42578125" style="48"/>
    <col min="3860" max="3860" width="1.85546875" style="48" customWidth="1"/>
    <col min="3861" max="3861" width="19" style="48" customWidth="1"/>
    <col min="3862" max="3862" width="32.7109375" style="48" customWidth="1"/>
    <col min="3863" max="3868" width="0" style="48" hidden="1" customWidth="1"/>
    <col min="3869" max="3871" width="11" style="48" customWidth="1"/>
    <col min="3872" max="3872" width="8.5703125" style="48" customWidth="1"/>
    <col min="3873" max="3873" width="14.28515625" style="48" customWidth="1"/>
    <col min="3874" max="4115" width="11.42578125" style="48"/>
    <col min="4116" max="4116" width="1.85546875" style="48" customWidth="1"/>
    <col min="4117" max="4117" width="19" style="48" customWidth="1"/>
    <col min="4118" max="4118" width="32.7109375" style="48" customWidth="1"/>
    <col min="4119" max="4124" width="0" style="48" hidden="1" customWidth="1"/>
    <col min="4125" max="4127" width="11" style="48" customWidth="1"/>
    <col min="4128" max="4128" width="8.5703125" style="48" customWidth="1"/>
    <col min="4129" max="4129" width="14.28515625" style="48" customWidth="1"/>
    <col min="4130" max="4371" width="11.42578125" style="48"/>
    <col min="4372" max="4372" width="1.85546875" style="48" customWidth="1"/>
    <col min="4373" max="4373" width="19" style="48" customWidth="1"/>
    <col min="4374" max="4374" width="32.7109375" style="48" customWidth="1"/>
    <col min="4375" max="4380" width="0" style="48" hidden="1" customWidth="1"/>
    <col min="4381" max="4383" width="11" style="48" customWidth="1"/>
    <col min="4384" max="4384" width="8.5703125" style="48" customWidth="1"/>
    <col min="4385" max="4385" width="14.28515625" style="48" customWidth="1"/>
    <col min="4386" max="4627" width="11.42578125" style="48"/>
    <col min="4628" max="4628" width="1.85546875" style="48" customWidth="1"/>
    <col min="4629" max="4629" width="19" style="48" customWidth="1"/>
    <col min="4630" max="4630" width="32.7109375" style="48" customWidth="1"/>
    <col min="4631" max="4636" width="0" style="48" hidden="1" customWidth="1"/>
    <col min="4637" max="4639" width="11" style="48" customWidth="1"/>
    <col min="4640" max="4640" width="8.5703125" style="48" customWidth="1"/>
    <col min="4641" max="4641" width="14.28515625" style="48" customWidth="1"/>
    <col min="4642" max="4883" width="11.42578125" style="48"/>
    <col min="4884" max="4884" width="1.85546875" style="48" customWidth="1"/>
    <col min="4885" max="4885" width="19" style="48" customWidth="1"/>
    <col min="4886" max="4886" width="32.7109375" style="48" customWidth="1"/>
    <col min="4887" max="4892" width="0" style="48" hidden="1" customWidth="1"/>
    <col min="4893" max="4895" width="11" style="48" customWidth="1"/>
    <col min="4896" max="4896" width="8.5703125" style="48" customWidth="1"/>
    <col min="4897" max="4897" width="14.28515625" style="48" customWidth="1"/>
    <col min="4898" max="5139" width="11.42578125" style="48"/>
    <col min="5140" max="5140" width="1.85546875" style="48" customWidth="1"/>
    <col min="5141" max="5141" width="19" style="48" customWidth="1"/>
    <col min="5142" max="5142" width="32.7109375" style="48" customWidth="1"/>
    <col min="5143" max="5148" width="0" style="48" hidden="1" customWidth="1"/>
    <col min="5149" max="5151" width="11" style="48" customWidth="1"/>
    <col min="5152" max="5152" width="8.5703125" style="48" customWidth="1"/>
    <col min="5153" max="5153" width="14.28515625" style="48" customWidth="1"/>
    <col min="5154" max="5395" width="11.42578125" style="48"/>
    <col min="5396" max="5396" width="1.85546875" style="48" customWidth="1"/>
    <col min="5397" max="5397" width="19" style="48" customWidth="1"/>
    <col min="5398" max="5398" width="32.7109375" style="48" customWidth="1"/>
    <col min="5399" max="5404" width="0" style="48" hidden="1" customWidth="1"/>
    <col min="5405" max="5407" width="11" style="48" customWidth="1"/>
    <col min="5408" max="5408" width="8.5703125" style="48" customWidth="1"/>
    <col min="5409" max="5409" width="14.28515625" style="48" customWidth="1"/>
    <col min="5410" max="5651" width="11.42578125" style="48"/>
    <col min="5652" max="5652" width="1.85546875" style="48" customWidth="1"/>
    <col min="5653" max="5653" width="19" style="48" customWidth="1"/>
    <col min="5654" max="5654" width="32.7109375" style="48" customWidth="1"/>
    <col min="5655" max="5660" width="0" style="48" hidden="1" customWidth="1"/>
    <col min="5661" max="5663" width="11" style="48" customWidth="1"/>
    <col min="5664" max="5664" width="8.5703125" style="48" customWidth="1"/>
    <col min="5665" max="5665" width="14.28515625" style="48" customWidth="1"/>
    <col min="5666" max="5907" width="11.42578125" style="48"/>
    <col min="5908" max="5908" width="1.85546875" style="48" customWidth="1"/>
    <col min="5909" max="5909" width="19" style="48" customWidth="1"/>
    <col min="5910" max="5910" width="32.7109375" style="48" customWidth="1"/>
    <col min="5911" max="5916" width="0" style="48" hidden="1" customWidth="1"/>
    <col min="5917" max="5919" width="11" style="48" customWidth="1"/>
    <col min="5920" max="5920" width="8.5703125" style="48" customWidth="1"/>
    <col min="5921" max="5921" width="14.28515625" style="48" customWidth="1"/>
    <col min="5922" max="6163" width="11.42578125" style="48"/>
    <col min="6164" max="6164" width="1.85546875" style="48" customWidth="1"/>
    <col min="6165" max="6165" width="19" style="48" customWidth="1"/>
    <col min="6166" max="6166" width="32.7109375" style="48" customWidth="1"/>
    <col min="6167" max="6172" width="0" style="48" hidden="1" customWidth="1"/>
    <col min="6173" max="6175" width="11" style="48" customWidth="1"/>
    <col min="6176" max="6176" width="8.5703125" style="48" customWidth="1"/>
    <col min="6177" max="6177" width="14.28515625" style="48" customWidth="1"/>
    <col min="6178" max="6419" width="11.42578125" style="48"/>
    <col min="6420" max="6420" width="1.85546875" style="48" customWidth="1"/>
    <col min="6421" max="6421" width="19" style="48" customWidth="1"/>
    <col min="6422" max="6422" width="32.7109375" style="48" customWidth="1"/>
    <col min="6423" max="6428" width="0" style="48" hidden="1" customWidth="1"/>
    <col min="6429" max="6431" width="11" style="48" customWidth="1"/>
    <col min="6432" max="6432" width="8.5703125" style="48" customWidth="1"/>
    <col min="6433" max="6433" width="14.28515625" style="48" customWidth="1"/>
    <col min="6434" max="6675" width="11.42578125" style="48"/>
    <col min="6676" max="6676" width="1.85546875" style="48" customWidth="1"/>
    <col min="6677" max="6677" width="19" style="48" customWidth="1"/>
    <col min="6678" max="6678" width="32.7109375" style="48" customWidth="1"/>
    <col min="6679" max="6684" width="0" style="48" hidden="1" customWidth="1"/>
    <col min="6685" max="6687" width="11" style="48" customWidth="1"/>
    <col min="6688" max="6688" width="8.5703125" style="48" customWidth="1"/>
    <col min="6689" max="6689" width="14.28515625" style="48" customWidth="1"/>
    <col min="6690" max="6931" width="11.42578125" style="48"/>
    <col min="6932" max="6932" width="1.85546875" style="48" customWidth="1"/>
    <col min="6933" max="6933" width="19" style="48" customWidth="1"/>
    <col min="6934" max="6934" width="32.7109375" style="48" customWidth="1"/>
    <col min="6935" max="6940" width="0" style="48" hidden="1" customWidth="1"/>
    <col min="6941" max="6943" width="11" style="48" customWidth="1"/>
    <col min="6944" max="6944" width="8.5703125" style="48" customWidth="1"/>
    <col min="6945" max="6945" width="14.28515625" style="48" customWidth="1"/>
    <col min="6946" max="7187" width="11.42578125" style="48"/>
    <col min="7188" max="7188" width="1.85546875" style="48" customWidth="1"/>
    <col min="7189" max="7189" width="19" style="48" customWidth="1"/>
    <col min="7190" max="7190" width="32.7109375" style="48" customWidth="1"/>
    <col min="7191" max="7196" width="0" style="48" hidden="1" customWidth="1"/>
    <col min="7197" max="7199" width="11" style="48" customWidth="1"/>
    <col min="7200" max="7200" width="8.5703125" style="48" customWidth="1"/>
    <col min="7201" max="7201" width="14.28515625" style="48" customWidth="1"/>
    <col min="7202" max="7443" width="11.42578125" style="48"/>
    <col min="7444" max="7444" width="1.85546875" style="48" customWidth="1"/>
    <col min="7445" max="7445" width="19" style="48" customWidth="1"/>
    <col min="7446" max="7446" width="32.7109375" style="48" customWidth="1"/>
    <col min="7447" max="7452" width="0" style="48" hidden="1" customWidth="1"/>
    <col min="7453" max="7455" width="11" style="48" customWidth="1"/>
    <col min="7456" max="7456" width="8.5703125" style="48" customWidth="1"/>
    <col min="7457" max="7457" width="14.28515625" style="48" customWidth="1"/>
    <col min="7458" max="7699" width="11.42578125" style="48"/>
    <col min="7700" max="7700" width="1.85546875" style="48" customWidth="1"/>
    <col min="7701" max="7701" width="19" style="48" customWidth="1"/>
    <col min="7702" max="7702" width="32.7109375" style="48" customWidth="1"/>
    <col min="7703" max="7708" width="0" style="48" hidden="1" customWidth="1"/>
    <col min="7709" max="7711" width="11" style="48" customWidth="1"/>
    <col min="7712" max="7712" width="8.5703125" style="48" customWidth="1"/>
    <col min="7713" max="7713" width="14.28515625" style="48" customWidth="1"/>
    <col min="7714" max="7955" width="11.42578125" style="48"/>
    <col min="7956" max="7956" width="1.85546875" style="48" customWidth="1"/>
    <col min="7957" max="7957" width="19" style="48" customWidth="1"/>
    <col min="7958" max="7958" width="32.7109375" style="48" customWidth="1"/>
    <col min="7959" max="7964" width="0" style="48" hidden="1" customWidth="1"/>
    <col min="7965" max="7967" width="11" style="48" customWidth="1"/>
    <col min="7968" max="7968" width="8.5703125" style="48" customWidth="1"/>
    <col min="7969" max="7969" width="14.28515625" style="48" customWidth="1"/>
    <col min="7970" max="8211" width="11.42578125" style="48"/>
    <col min="8212" max="8212" width="1.85546875" style="48" customWidth="1"/>
    <col min="8213" max="8213" width="19" style="48" customWidth="1"/>
    <col min="8214" max="8214" width="32.7109375" style="48" customWidth="1"/>
    <col min="8215" max="8220" width="0" style="48" hidden="1" customWidth="1"/>
    <col min="8221" max="8223" width="11" style="48" customWidth="1"/>
    <col min="8224" max="8224" width="8.5703125" style="48" customWidth="1"/>
    <col min="8225" max="8225" width="14.28515625" style="48" customWidth="1"/>
    <col min="8226" max="8467" width="11.42578125" style="48"/>
    <col min="8468" max="8468" width="1.85546875" style="48" customWidth="1"/>
    <col min="8469" max="8469" width="19" style="48" customWidth="1"/>
    <col min="8470" max="8470" width="32.7109375" style="48" customWidth="1"/>
    <col min="8471" max="8476" width="0" style="48" hidden="1" customWidth="1"/>
    <col min="8477" max="8479" width="11" style="48" customWidth="1"/>
    <col min="8480" max="8480" width="8.5703125" style="48" customWidth="1"/>
    <col min="8481" max="8481" width="14.28515625" style="48" customWidth="1"/>
    <col min="8482" max="8723" width="11.42578125" style="48"/>
    <col min="8724" max="8724" width="1.85546875" style="48" customWidth="1"/>
    <col min="8725" max="8725" width="19" style="48" customWidth="1"/>
    <col min="8726" max="8726" width="32.7109375" style="48" customWidth="1"/>
    <col min="8727" max="8732" width="0" style="48" hidden="1" customWidth="1"/>
    <col min="8733" max="8735" width="11" style="48" customWidth="1"/>
    <col min="8736" max="8736" width="8.5703125" style="48" customWidth="1"/>
    <col min="8737" max="8737" width="14.28515625" style="48" customWidth="1"/>
    <col min="8738" max="8979" width="11.42578125" style="48"/>
    <col min="8980" max="8980" width="1.85546875" style="48" customWidth="1"/>
    <col min="8981" max="8981" width="19" style="48" customWidth="1"/>
    <col min="8982" max="8982" width="32.7109375" style="48" customWidth="1"/>
    <col min="8983" max="8988" width="0" style="48" hidden="1" customWidth="1"/>
    <col min="8989" max="8991" width="11" style="48" customWidth="1"/>
    <col min="8992" max="8992" width="8.5703125" style="48" customWidth="1"/>
    <col min="8993" max="8993" width="14.28515625" style="48" customWidth="1"/>
    <col min="8994" max="9235" width="11.42578125" style="48"/>
    <col min="9236" max="9236" width="1.85546875" style="48" customWidth="1"/>
    <col min="9237" max="9237" width="19" style="48" customWidth="1"/>
    <col min="9238" max="9238" width="32.7109375" style="48" customWidth="1"/>
    <col min="9239" max="9244" width="0" style="48" hidden="1" customWidth="1"/>
    <col min="9245" max="9247" width="11" style="48" customWidth="1"/>
    <col min="9248" max="9248" width="8.5703125" style="48" customWidth="1"/>
    <col min="9249" max="9249" width="14.28515625" style="48" customWidth="1"/>
    <col min="9250" max="9491" width="11.42578125" style="48"/>
    <col min="9492" max="9492" width="1.85546875" style="48" customWidth="1"/>
    <col min="9493" max="9493" width="19" style="48" customWidth="1"/>
    <col min="9494" max="9494" width="32.7109375" style="48" customWidth="1"/>
    <col min="9495" max="9500" width="0" style="48" hidden="1" customWidth="1"/>
    <col min="9501" max="9503" width="11" style="48" customWidth="1"/>
    <col min="9504" max="9504" width="8.5703125" style="48" customWidth="1"/>
    <col min="9505" max="9505" width="14.28515625" style="48" customWidth="1"/>
    <col min="9506" max="9747" width="11.42578125" style="48"/>
    <col min="9748" max="9748" width="1.85546875" style="48" customWidth="1"/>
    <col min="9749" max="9749" width="19" style="48" customWidth="1"/>
    <col min="9750" max="9750" width="32.7109375" style="48" customWidth="1"/>
    <col min="9751" max="9756" width="0" style="48" hidden="1" customWidth="1"/>
    <col min="9757" max="9759" width="11" style="48" customWidth="1"/>
    <col min="9760" max="9760" width="8.5703125" style="48" customWidth="1"/>
    <col min="9761" max="9761" width="14.28515625" style="48" customWidth="1"/>
    <col min="9762" max="10003" width="11.42578125" style="48"/>
    <col min="10004" max="10004" width="1.85546875" style="48" customWidth="1"/>
    <col min="10005" max="10005" width="19" style="48" customWidth="1"/>
    <col min="10006" max="10006" width="32.7109375" style="48" customWidth="1"/>
    <col min="10007" max="10012" width="0" style="48" hidden="1" customWidth="1"/>
    <col min="10013" max="10015" width="11" style="48" customWidth="1"/>
    <col min="10016" max="10016" width="8.5703125" style="48" customWidth="1"/>
    <col min="10017" max="10017" width="14.28515625" style="48" customWidth="1"/>
    <col min="10018" max="10259" width="11.42578125" style="48"/>
    <col min="10260" max="10260" width="1.85546875" style="48" customWidth="1"/>
    <col min="10261" max="10261" width="19" style="48" customWidth="1"/>
    <col min="10262" max="10262" width="32.7109375" style="48" customWidth="1"/>
    <col min="10263" max="10268" width="0" style="48" hidden="1" customWidth="1"/>
    <col min="10269" max="10271" width="11" style="48" customWidth="1"/>
    <col min="10272" max="10272" width="8.5703125" style="48" customWidth="1"/>
    <col min="10273" max="10273" width="14.28515625" style="48" customWidth="1"/>
    <col min="10274" max="10515" width="11.42578125" style="48"/>
    <col min="10516" max="10516" width="1.85546875" style="48" customWidth="1"/>
    <col min="10517" max="10517" width="19" style="48" customWidth="1"/>
    <col min="10518" max="10518" width="32.7109375" style="48" customWidth="1"/>
    <col min="10519" max="10524" width="0" style="48" hidden="1" customWidth="1"/>
    <col min="10525" max="10527" width="11" style="48" customWidth="1"/>
    <col min="10528" max="10528" width="8.5703125" style="48" customWidth="1"/>
    <col min="10529" max="10529" width="14.28515625" style="48" customWidth="1"/>
    <col min="10530" max="10771" width="11.42578125" style="48"/>
    <col min="10772" max="10772" width="1.85546875" style="48" customWidth="1"/>
    <col min="10773" max="10773" width="19" style="48" customWidth="1"/>
    <col min="10774" max="10774" width="32.7109375" style="48" customWidth="1"/>
    <col min="10775" max="10780" width="0" style="48" hidden="1" customWidth="1"/>
    <col min="10781" max="10783" width="11" style="48" customWidth="1"/>
    <col min="10784" max="10784" width="8.5703125" style="48" customWidth="1"/>
    <col min="10785" max="10785" width="14.28515625" style="48" customWidth="1"/>
    <col min="10786" max="11027" width="11.42578125" style="48"/>
    <col min="11028" max="11028" width="1.85546875" style="48" customWidth="1"/>
    <col min="11029" max="11029" width="19" style="48" customWidth="1"/>
    <col min="11030" max="11030" width="32.7109375" style="48" customWidth="1"/>
    <col min="11031" max="11036" width="0" style="48" hidden="1" customWidth="1"/>
    <col min="11037" max="11039" width="11" style="48" customWidth="1"/>
    <col min="11040" max="11040" width="8.5703125" style="48" customWidth="1"/>
    <col min="11041" max="11041" width="14.28515625" style="48" customWidth="1"/>
    <col min="11042" max="11283" width="11.42578125" style="48"/>
    <col min="11284" max="11284" width="1.85546875" style="48" customWidth="1"/>
    <col min="11285" max="11285" width="19" style="48" customWidth="1"/>
    <col min="11286" max="11286" width="32.7109375" style="48" customWidth="1"/>
    <col min="11287" max="11292" width="0" style="48" hidden="1" customWidth="1"/>
    <col min="11293" max="11295" width="11" style="48" customWidth="1"/>
    <col min="11296" max="11296" width="8.5703125" style="48" customWidth="1"/>
    <col min="11297" max="11297" width="14.28515625" style="48" customWidth="1"/>
    <col min="11298" max="11539" width="11.42578125" style="48"/>
    <col min="11540" max="11540" width="1.85546875" style="48" customWidth="1"/>
    <col min="11541" max="11541" width="19" style="48" customWidth="1"/>
    <col min="11542" max="11542" width="32.7109375" style="48" customWidth="1"/>
    <col min="11543" max="11548" width="0" style="48" hidden="1" customWidth="1"/>
    <col min="11549" max="11551" width="11" style="48" customWidth="1"/>
    <col min="11552" max="11552" width="8.5703125" style="48" customWidth="1"/>
    <col min="11553" max="11553" width="14.28515625" style="48" customWidth="1"/>
    <col min="11554" max="11795" width="11.42578125" style="48"/>
    <col min="11796" max="11796" width="1.85546875" style="48" customWidth="1"/>
    <col min="11797" max="11797" width="19" style="48" customWidth="1"/>
    <col min="11798" max="11798" width="32.7109375" style="48" customWidth="1"/>
    <col min="11799" max="11804" width="0" style="48" hidden="1" customWidth="1"/>
    <col min="11805" max="11807" width="11" style="48" customWidth="1"/>
    <col min="11808" max="11808" width="8.5703125" style="48" customWidth="1"/>
    <col min="11809" max="11809" width="14.28515625" style="48" customWidth="1"/>
    <col min="11810" max="12051" width="11.42578125" style="48"/>
    <col min="12052" max="12052" width="1.85546875" style="48" customWidth="1"/>
    <col min="12053" max="12053" width="19" style="48" customWidth="1"/>
    <col min="12054" max="12054" width="32.7109375" style="48" customWidth="1"/>
    <col min="12055" max="12060" width="0" style="48" hidden="1" customWidth="1"/>
    <col min="12061" max="12063" width="11" style="48" customWidth="1"/>
    <col min="12064" max="12064" width="8.5703125" style="48" customWidth="1"/>
    <col min="12065" max="12065" width="14.28515625" style="48" customWidth="1"/>
    <col min="12066" max="12307" width="11.42578125" style="48"/>
    <col min="12308" max="12308" width="1.85546875" style="48" customWidth="1"/>
    <col min="12309" max="12309" width="19" style="48" customWidth="1"/>
    <col min="12310" max="12310" width="32.7109375" style="48" customWidth="1"/>
    <col min="12311" max="12316" width="0" style="48" hidden="1" customWidth="1"/>
    <col min="12317" max="12319" width="11" style="48" customWidth="1"/>
    <col min="12320" max="12320" width="8.5703125" style="48" customWidth="1"/>
    <col min="12321" max="12321" width="14.28515625" style="48" customWidth="1"/>
    <col min="12322" max="12563" width="11.42578125" style="48"/>
    <col min="12564" max="12564" width="1.85546875" style="48" customWidth="1"/>
    <col min="12565" max="12565" width="19" style="48" customWidth="1"/>
    <col min="12566" max="12566" width="32.7109375" style="48" customWidth="1"/>
    <col min="12567" max="12572" width="0" style="48" hidden="1" customWidth="1"/>
    <col min="12573" max="12575" width="11" style="48" customWidth="1"/>
    <col min="12576" max="12576" width="8.5703125" style="48" customWidth="1"/>
    <col min="12577" max="12577" width="14.28515625" style="48" customWidth="1"/>
    <col min="12578" max="12819" width="11.42578125" style="48"/>
    <col min="12820" max="12820" width="1.85546875" style="48" customWidth="1"/>
    <col min="12821" max="12821" width="19" style="48" customWidth="1"/>
    <col min="12822" max="12822" width="32.7109375" style="48" customWidth="1"/>
    <col min="12823" max="12828" width="0" style="48" hidden="1" customWidth="1"/>
    <col min="12829" max="12831" width="11" style="48" customWidth="1"/>
    <col min="12832" max="12832" width="8.5703125" style="48" customWidth="1"/>
    <col min="12833" max="12833" width="14.28515625" style="48" customWidth="1"/>
    <col min="12834" max="13075" width="11.42578125" style="48"/>
    <col min="13076" max="13076" width="1.85546875" style="48" customWidth="1"/>
    <col min="13077" max="13077" width="19" style="48" customWidth="1"/>
    <col min="13078" max="13078" width="32.7109375" style="48" customWidth="1"/>
    <col min="13079" max="13084" width="0" style="48" hidden="1" customWidth="1"/>
    <col min="13085" max="13087" width="11" style="48" customWidth="1"/>
    <col min="13088" max="13088" width="8.5703125" style="48" customWidth="1"/>
    <col min="13089" max="13089" width="14.28515625" style="48" customWidth="1"/>
    <col min="13090" max="13331" width="11.42578125" style="48"/>
    <col min="13332" max="13332" width="1.85546875" style="48" customWidth="1"/>
    <col min="13333" max="13333" width="19" style="48" customWidth="1"/>
    <col min="13334" max="13334" width="32.7109375" style="48" customWidth="1"/>
    <col min="13335" max="13340" width="0" style="48" hidden="1" customWidth="1"/>
    <col min="13341" max="13343" width="11" style="48" customWidth="1"/>
    <col min="13344" max="13344" width="8.5703125" style="48" customWidth="1"/>
    <col min="13345" max="13345" width="14.28515625" style="48" customWidth="1"/>
    <col min="13346" max="13587" width="11.42578125" style="48"/>
    <col min="13588" max="13588" width="1.85546875" style="48" customWidth="1"/>
    <col min="13589" max="13589" width="19" style="48" customWidth="1"/>
    <col min="13590" max="13590" width="32.7109375" style="48" customWidth="1"/>
    <col min="13591" max="13596" width="0" style="48" hidden="1" customWidth="1"/>
    <col min="13597" max="13599" width="11" style="48" customWidth="1"/>
    <col min="13600" max="13600" width="8.5703125" style="48" customWidth="1"/>
    <col min="13601" max="13601" width="14.28515625" style="48" customWidth="1"/>
    <col min="13602" max="13843" width="11.42578125" style="48"/>
    <col min="13844" max="13844" width="1.85546875" style="48" customWidth="1"/>
    <col min="13845" max="13845" width="19" style="48" customWidth="1"/>
    <col min="13846" max="13846" width="32.7109375" style="48" customWidth="1"/>
    <col min="13847" max="13852" width="0" style="48" hidden="1" customWidth="1"/>
    <col min="13853" max="13855" width="11" style="48" customWidth="1"/>
    <col min="13856" max="13856" width="8.5703125" style="48" customWidth="1"/>
    <col min="13857" max="13857" width="14.28515625" style="48" customWidth="1"/>
    <col min="13858" max="14099" width="11.42578125" style="48"/>
    <col min="14100" max="14100" width="1.85546875" style="48" customWidth="1"/>
    <col min="14101" max="14101" width="19" style="48" customWidth="1"/>
    <col min="14102" max="14102" width="32.7109375" style="48" customWidth="1"/>
    <col min="14103" max="14108" width="0" style="48" hidden="1" customWidth="1"/>
    <col min="14109" max="14111" width="11" style="48" customWidth="1"/>
    <col min="14112" max="14112" width="8.5703125" style="48" customWidth="1"/>
    <col min="14113" max="14113" width="14.28515625" style="48" customWidth="1"/>
    <col min="14114" max="14355" width="11.42578125" style="48"/>
    <col min="14356" max="14356" width="1.85546875" style="48" customWidth="1"/>
    <col min="14357" max="14357" width="19" style="48" customWidth="1"/>
    <col min="14358" max="14358" width="32.7109375" style="48" customWidth="1"/>
    <col min="14359" max="14364" width="0" style="48" hidden="1" customWidth="1"/>
    <col min="14365" max="14367" width="11" style="48" customWidth="1"/>
    <col min="14368" max="14368" width="8.5703125" style="48" customWidth="1"/>
    <col min="14369" max="14369" width="14.28515625" style="48" customWidth="1"/>
    <col min="14370" max="14611" width="11.42578125" style="48"/>
    <col min="14612" max="14612" width="1.85546875" style="48" customWidth="1"/>
    <col min="14613" max="14613" width="19" style="48" customWidth="1"/>
    <col min="14614" max="14614" width="32.7109375" style="48" customWidth="1"/>
    <col min="14615" max="14620" width="0" style="48" hidden="1" customWidth="1"/>
    <col min="14621" max="14623" width="11" style="48" customWidth="1"/>
    <col min="14624" max="14624" width="8.5703125" style="48" customWidth="1"/>
    <col min="14625" max="14625" width="14.28515625" style="48" customWidth="1"/>
    <col min="14626" max="14867" width="11.42578125" style="48"/>
    <col min="14868" max="14868" width="1.85546875" style="48" customWidth="1"/>
    <col min="14869" max="14869" width="19" style="48" customWidth="1"/>
    <col min="14870" max="14870" width="32.7109375" style="48" customWidth="1"/>
    <col min="14871" max="14876" width="0" style="48" hidden="1" customWidth="1"/>
    <col min="14877" max="14879" width="11" style="48" customWidth="1"/>
    <col min="14880" max="14880" width="8.5703125" style="48" customWidth="1"/>
    <col min="14881" max="14881" width="14.28515625" style="48" customWidth="1"/>
    <col min="14882" max="15123" width="11.42578125" style="48"/>
    <col min="15124" max="15124" width="1.85546875" style="48" customWidth="1"/>
    <col min="15125" max="15125" width="19" style="48" customWidth="1"/>
    <col min="15126" max="15126" width="32.7109375" style="48" customWidth="1"/>
    <col min="15127" max="15132" width="0" style="48" hidden="1" customWidth="1"/>
    <col min="15133" max="15135" width="11" style="48" customWidth="1"/>
    <col min="15136" max="15136" width="8.5703125" style="48" customWidth="1"/>
    <col min="15137" max="15137" width="14.28515625" style="48" customWidth="1"/>
    <col min="15138" max="15379" width="11.42578125" style="48"/>
    <col min="15380" max="15380" width="1.85546875" style="48" customWidth="1"/>
    <col min="15381" max="15381" width="19" style="48" customWidth="1"/>
    <col min="15382" max="15382" width="32.7109375" style="48" customWidth="1"/>
    <col min="15383" max="15388" width="0" style="48" hidden="1" customWidth="1"/>
    <col min="15389" max="15391" width="11" style="48" customWidth="1"/>
    <col min="15392" max="15392" width="8.5703125" style="48" customWidth="1"/>
    <col min="15393" max="15393" width="14.28515625" style="48" customWidth="1"/>
    <col min="15394" max="15635" width="11.42578125" style="48"/>
    <col min="15636" max="15636" width="1.85546875" style="48" customWidth="1"/>
    <col min="15637" max="15637" width="19" style="48" customWidth="1"/>
    <col min="15638" max="15638" width="32.7109375" style="48" customWidth="1"/>
    <col min="15639" max="15644" width="0" style="48" hidden="1" customWidth="1"/>
    <col min="15645" max="15647" width="11" style="48" customWidth="1"/>
    <col min="15648" max="15648" width="8.5703125" style="48" customWidth="1"/>
    <col min="15649" max="15649" width="14.28515625" style="48" customWidth="1"/>
    <col min="15650" max="15891" width="11.42578125" style="48"/>
    <col min="15892" max="15892" width="1.85546875" style="48" customWidth="1"/>
    <col min="15893" max="15893" width="19" style="48" customWidth="1"/>
    <col min="15894" max="15894" width="32.7109375" style="48" customWidth="1"/>
    <col min="15895" max="15900" width="0" style="48" hidden="1" customWidth="1"/>
    <col min="15901" max="15903" width="11" style="48" customWidth="1"/>
    <col min="15904" max="15904" width="8.5703125" style="48" customWidth="1"/>
    <col min="15905" max="15905" width="14.28515625" style="48" customWidth="1"/>
    <col min="15906" max="16147" width="11.42578125" style="48"/>
    <col min="16148" max="16148" width="1.85546875" style="48" customWidth="1"/>
    <col min="16149" max="16149" width="19" style="48" customWidth="1"/>
    <col min="16150" max="16150" width="32.7109375" style="48" customWidth="1"/>
    <col min="16151" max="16156" width="0" style="48" hidden="1" customWidth="1"/>
    <col min="16157" max="16159" width="11" style="48" customWidth="1"/>
    <col min="16160" max="16160" width="8.5703125" style="48" customWidth="1"/>
    <col min="16161" max="16161" width="14.28515625" style="48" customWidth="1"/>
    <col min="16162" max="16384" width="11.42578125" style="48"/>
  </cols>
  <sheetData>
    <row r="1" spans="2:34" ht="9.75" customHeight="1" thickBot="1" x14ac:dyDescent="0.25"/>
    <row r="2" spans="2:34" ht="38.25" customHeight="1" thickBot="1" x14ac:dyDescent="0.25">
      <c r="B2" s="2264" t="s">
        <v>633</v>
      </c>
      <c r="C2" s="2265"/>
      <c r="D2" s="2265"/>
      <c r="E2" s="2265"/>
      <c r="F2" s="2265"/>
      <c r="G2" s="2265"/>
      <c r="H2" s="2265"/>
      <c r="I2" s="2265"/>
      <c r="J2" s="2265"/>
      <c r="K2" s="2265"/>
      <c r="L2" s="2265"/>
      <c r="M2" s="2265"/>
      <c r="N2" s="2265"/>
      <c r="O2" s="2265"/>
      <c r="P2" s="2265"/>
      <c r="Q2" s="2265"/>
      <c r="R2" s="2265"/>
      <c r="S2" s="2265"/>
      <c r="T2" s="2265"/>
      <c r="U2" s="2265"/>
      <c r="V2" s="2265"/>
      <c r="W2" s="2265"/>
      <c r="X2" s="2265"/>
      <c r="Y2" s="2265"/>
      <c r="Z2" s="2265"/>
      <c r="AA2" s="2265"/>
      <c r="AB2" s="2265"/>
      <c r="AC2" s="2265"/>
      <c r="AD2" s="2265"/>
      <c r="AE2" s="2265"/>
      <c r="AF2" s="2265"/>
      <c r="AG2" s="2266"/>
    </row>
    <row r="3" spans="2:34" ht="17.25" customHeight="1" x14ac:dyDescent="0.25">
      <c r="B3" s="2328" t="s">
        <v>88</v>
      </c>
      <c r="C3" s="2330" t="s">
        <v>89</v>
      </c>
      <c r="D3" s="2332" t="s">
        <v>118</v>
      </c>
      <c r="E3" s="2332"/>
      <c r="F3" s="2332"/>
      <c r="G3" s="2332"/>
      <c r="H3" s="2332"/>
      <c r="I3" s="2332"/>
      <c r="J3" s="2332"/>
      <c r="K3" s="2332"/>
      <c r="L3" s="2332"/>
      <c r="M3" s="2332"/>
      <c r="N3" s="2332"/>
      <c r="O3" s="2332"/>
      <c r="P3" s="2333" t="s">
        <v>118</v>
      </c>
      <c r="Q3" s="2333"/>
      <c r="R3" s="2333">
        <v>0.8</v>
      </c>
      <c r="S3" s="2333"/>
      <c r="T3" s="2333"/>
      <c r="U3" s="2333"/>
      <c r="V3" s="2333">
        <v>0.8</v>
      </c>
      <c r="W3" s="2333"/>
      <c r="X3" s="2334">
        <v>0.8</v>
      </c>
      <c r="Y3" s="2334"/>
      <c r="Z3" s="2334">
        <v>0.8</v>
      </c>
      <c r="AA3" s="2334"/>
      <c r="AB3" s="2334">
        <v>0.8</v>
      </c>
      <c r="AC3" s="2334"/>
      <c r="AD3" s="2334">
        <v>0.8</v>
      </c>
      <c r="AE3" s="2334"/>
      <c r="AF3" s="2340" t="s">
        <v>92</v>
      </c>
      <c r="AG3" s="2340" t="s">
        <v>627</v>
      </c>
    </row>
    <row r="4" spans="2:34" ht="13.5" customHeight="1" thickBot="1" x14ac:dyDescent="0.3">
      <c r="B4" s="2329"/>
      <c r="C4" s="2331"/>
      <c r="D4" s="976" t="s">
        <v>119</v>
      </c>
      <c r="E4" s="977" t="s">
        <v>120</v>
      </c>
      <c r="F4" s="977" t="s">
        <v>121</v>
      </c>
      <c r="G4" s="977" t="s">
        <v>97</v>
      </c>
      <c r="H4" s="977" t="s">
        <v>98</v>
      </c>
      <c r="I4" s="977" t="s">
        <v>99</v>
      </c>
      <c r="J4" s="977" t="s">
        <v>100</v>
      </c>
      <c r="K4" s="977" t="s">
        <v>101</v>
      </c>
      <c r="L4" s="977" t="s">
        <v>122</v>
      </c>
      <c r="M4" s="977" t="s">
        <v>267</v>
      </c>
      <c r="N4" s="977" t="s">
        <v>319</v>
      </c>
      <c r="O4" s="977" t="s">
        <v>320</v>
      </c>
      <c r="P4" s="977" t="s">
        <v>342</v>
      </c>
      <c r="Q4" s="977" t="s">
        <v>343</v>
      </c>
      <c r="R4" s="977" t="s">
        <v>410</v>
      </c>
      <c r="S4" s="977" t="s">
        <v>411</v>
      </c>
      <c r="T4" s="977" t="s">
        <v>445</v>
      </c>
      <c r="U4" s="977" t="s">
        <v>446</v>
      </c>
      <c r="V4" s="977" t="s">
        <v>602</v>
      </c>
      <c r="W4" s="977" t="s">
        <v>603</v>
      </c>
      <c r="X4" s="977" t="s">
        <v>624</v>
      </c>
      <c r="Y4" s="977" t="s">
        <v>625</v>
      </c>
      <c r="Z4" s="977" t="s">
        <v>718</v>
      </c>
      <c r="AA4" s="977" t="s">
        <v>719</v>
      </c>
      <c r="AB4" s="977" t="s">
        <v>831</v>
      </c>
      <c r="AC4" s="977" t="s">
        <v>832</v>
      </c>
      <c r="AD4" s="977" t="s">
        <v>1040</v>
      </c>
      <c r="AE4" s="977" t="s">
        <v>1041</v>
      </c>
      <c r="AF4" s="2341"/>
      <c r="AG4" s="2341"/>
    </row>
    <row r="5" spans="2:34" ht="51.75" hidden="1" customHeight="1" x14ac:dyDescent="0.2">
      <c r="B5" s="978"/>
      <c r="C5" s="1380" t="s">
        <v>280</v>
      </c>
      <c r="D5" s="979">
        <v>1</v>
      </c>
      <c r="E5" s="980">
        <v>1</v>
      </c>
      <c r="F5" s="981">
        <v>0.996</v>
      </c>
      <c r="G5" s="981">
        <v>0.99</v>
      </c>
      <c r="H5" s="981">
        <v>0.85</v>
      </c>
      <c r="I5" s="981">
        <v>0.91</v>
      </c>
      <c r="J5" s="981">
        <v>0.94</v>
      </c>
      <c r="K5" s="981">
        <v>0.98</v>
      </c>
      <c r="L5" s="981">
        <v>0.8</v>
      </c>
      <c r="M5" s="981">
        <v>0.8</v>
      </c>
      <c r="N5" s="981">
        <v>0.92</v>
      </c>
      <c r="O5" s="981">
        <v>0.88</v>
      </c>
      <c r="P5" s="981">
        <v>0.96</v>
      </c>
      <c r="Q5" s="981">
        <v>0.96</v>
      </c>
      <c r="R5" s="981">
        <v>0.93</v>
      </c>
      <c r="S5" s="981">
        <v>0.94</v>
      </c>
      <c r="T5" s="981"/>
      <c r="U5" s="981"/>
      <c r="V5" s="981"/>
      <c r="W5" s="981"/>
      <c r="X5" s="981"/>
      <c r="Y5" s="981"/>
      <c r="Z5" s="981"/>
      <c r="AA5" s="981"/>
      <c r="AB5" s="981"/>
      <c r="AC5" s="981"/>
      <c r="AD5" s="981"/>
      <c r="AE5" s="981"/>
      <c r="AF5" s="981"/>
      <c r="AG5" s="982"/>
    </row>
    <row r="6" spans="2:34" ht="52.5" customHeight="1" thickBot="1" x14ac:dyDescent="0.25">
      <c r="B6" s="1319" t="s">
        <v>1298</v>
      </c>
      <c r="C6" s="1382" t="s">
        <v>30</v>
      </c>
      <c r="D6" s="1323">
        <v>0.85</v>
      </c>
      <c r="E6" s="1102">
        <v>0.81</v>
      </c>
      <c r="F6" s="1102">
        <v>0.81</v>
      </c>
      <c r="G6" s="1102">
        <v>0.64</v>
      </c>
      <c r="H6" s="1102">
        <v>0.69</v>
      </c>
      <c r="I6" s="1102">
        <v>0.82</v>
      </c>
      <c r="J6" s="1102">
        <v>0.89</v>
      </c>
      <c r="K6" s="1102">
        <v>0.81</v>
      </c>
      <c r="L6" s="1102">
        <v>0.92</v>
      </c>
      <c r="M6" s="1102">
        <v>0.89</v>
      </c>
      <c r="N6" s="1102">
        <v>0.89</v>
      </c>
      <c r="O6" s="1102">
        <v>0.9</v>
      </c>
      <c r="P6" s="1102">
        <v>0.88</v>
      </c>
      <c r="Q6" s="1102">
        <v>0.95</v>
      </c>
      <c r="R6" s="1102">
        <v>0.9</v>
      </c>
      <c r="S6" s="1102">
        <v>0.88</v>
      </c>
      <c r="T6" s="1102">
        <v>0.9</v>
      </c>
      <c r="U6" s="1102">
        <v>0.91</v>
      </c>
      <c r="V6" s="1103">
        <v>0.96</v>
      </c>
      <c r="W6" s="1103">
        <v>0.95</v>
      </c>
      <c r="X6" s="1104">
        <v>0.93859999999999999</v>
      </c>
      <c r="Y6" s="1104">
        <v>0.9617</v>
      </c>
      <c r="Z6" s="1104">
        <v>0.96089999999999998</v>
      </c>
      <c r="AA6" s="1104">
        <v>0.93859999999999999</v>
      </c>
      <c r="AB6" s="1105">
        <v>0.90910000000000002</v>
      </c>
      <c r="AC6" s="1105">
        <v>0.9677</v>
      </c>
      <c r="AD6" s="1383">
        <v>0.9718</v>
      </c>
      <c r="AE6" s="1383">
        <v>0.97670000000000001</v>
      </c>
      <c r="AF6" s="1106">
        <f t="shared" ref="AF6:AF7" si="0">AVERAGE(AD6:AE6)</f>
        <v>0.97425000000000006</v>
      </c>
      <c r="AG6" s="1107">
        <f t="shared" ref="AG6:AG7" si="1">AE6-AD6</f>
        <v>4.9000000000000155E-3</v>
      </c>
      <c r="AH6" s="781">
        <v>1</v>
      </c>
    </row>
    <row r="7" spans="2:34" ht="33" customHeight="1" thickBot="1" x14ac:dyDescent="0.25">
      <c r="B7" s="1384" t="s">
        <v>102</v>
      </c>
      <c r="C7" s="1385" t="s">
        <v>123</v>
      </c>
      <c r="D7" s="1108"/>
      <c r="E7" s="1317"/>
      <c r="F7" s="1317"/>
      <c r="G7" s="1109"/>
      <c r="H7" s="1109"/>
      <c r="I7" s="1110">
        <v>8</v>
      </c>
      <c r="J7" s="1110">
        <v>12</v>
      </c>
      <c r="K7" s="1110">
        <v>15</v>
      </c>
      <c r="L7" s="1110">
        <v>8</v>
      </c>
      <c r="M7" s="1110">
        <v>20</v>
      </c>
      <c r="N7" s="1111">
        <v>16</v>
      </c>
      <c r="O7" s="1111">
        <v>22</v>
      </c>
      <c r="P7" s="1111">
        <v>5</v>
      </c>
      <c r="Q7" s="1111">
        <v>11</v>
      </c>
      <c r="R7" s="1111">
        <v>5</v>
      </c>
      <c r="S7" s="1111">
        <v>6</v>
      </c>
      <c r="T7" s="1111">
        <v>5</v>
      </c>
      <c r="U7" s="1111">
        <v>6</v>
      </c>
      <c r="V7" s="1112">
        <v>3</v>
      </c>
      <c r="W7" s="1112">
        <v>2</v>
      </c>
      <c r="X7" s="1113">
        <v>0.93910000000000005</v>
      </c>
      <c r="Y7" s="1113">
        <v>0.9</v>
      </c>
      <c r="Z7" s="1113">
        <v>0.90790000000000004</v>
      </c>
      <c r="AA7" s="1113">
        <v>0.91849999999999998</v>
      </c>
      <c r="AB7" s="1114">
        <v>0.93020000000000003</v>
      </c>
      <c r="AC7" s="1114">
        <v>0.97629999999999995</v>
      </c>
      <c r="AD7" s="1386">
        <v>0.97670000000000001</v>
      </c>
      <c r="AE7" s="1386">
        <v>0.99619999999999997</v>
      </c>
      <c r="AF7" s="1115">
        <f t="shared" si="0"/>
        <v>0.98645000000000005</v>
      </c>
      <c r="AG7" s="1116">
        <f t="shared" si="1"/>
        <v>1.9499999999999962E-2</v>
      </c>
      <c r="AH7" s="781">
        <v>1</v>
      </c>
    </row>
    <row r="8" spans="2:34" ht="20.25" hidden="1" customHeight="1" x14ac:dyDescent="0.2">
      <c r="B8" s="2342" t="s">
        <v>1299</v>
      </c>
      <c r="C8" s="1387"/>
      <c r="D8" s="1124"/>
      <c r="E8" s="1315"/>
      <c r="F8" s="1315"/>
      <c r="G8" s="1125"/>
      <c r="H8" s="1125"/>
      <c r="I8" s="1126"/>
      <c r="J8" s="1126"/>
      <c r="K8" s="1126"/>
      <c r="L8" s="1126"/>
      <c r="M8" s="1126"/>
      <c r="N8" s="1127"/>
      <c r="O8" s="1127"/>
      <c r="P8" s="1127"/>
      <c r="Q8" s="1127"/>
      <c r="R8" s="1127"/>
      <c r="S8" s="1127"/>
      <c r="T8" s="1127"/>
      <c r="U8" s="1127"/>
      <c r="V8" s="1128"/>
      <c r="W8" s="1128"/>
      <c r="X8" s="1129"/>
      <c r="Y8" s="1129"/>
      <c r="Z8" s="1129"/>
      <c r="AA8" s="1129"/>
      <c r="AB8" s="1130"/>
      <c r="AC8" s="1130"/>
      <c r="AD8" s="1130"/>
      <c r="AE8" s="1130"/>
      <c r="AF8" s="1131"/>
      <c r="AG8" s="1132"/>
    </row>
    <row r="9" spans="2:34" ht="27.75" hidden="1" customHeight="1" x14ac:dyDescent="0.2">
      <c r="B9" s="2343"/>
      <c r="C9" s="1388" t="s">
        <v>37</v>
      </c>
      <c r="D9" s="1073">
        <v>5.7299999999999997E-2</v>
      </c>
      <c r="E9" s="1074">
        <v>7.5300000000000006E-2</v>
      </c>
      <c r="F9" s="1074">
        <v>4.99E-2</v>
      </c>
      <c r="G9" s="1074">
        <v>4.8899999999999999E-2</v>
      </c>
      <c r="H9" s="1074">
        <v>4.9200000000000001E-2</v>
      </c>
      <c r="I9" s="1075">
        <v>4.4999999999999998E-2</v>
      </c>
      <c r="J9" s="1075">
        <v>5.5599999999999997E-2</v>
      </c>
      <c r="K9" s="1075">
        <v>5.3999999999999999E-2</v>
      </c>
      <c r="L9" s="1075">
        <v>5.16E-2</v>
      </c>
      <c r="M9" s="1075">
        <v>5.3400000000000003E-2</v>
      </c>
      <c r="N9" s="1075">
        <v>6.2600000000000003E-2</v>
      </c>
      <c r="O9" s="1075">
        <v>6.2600000000000003E-2</v>
      </c>
      <c r="P9" s="1075">
        <v>6.1199999999999997E-2</v>
      </c>
      <c r="Q9" s="1075">
        <v>7.8200000000000006E-2</v>
      </c>
      <c r="R9" s="1075">
        <v>5.9499999999999997E-2</v>
      </c>
      <c r="S9" s="1075">
        <v>6.1699999999999998E-2</v>
      </c>
      <c r="T9" s="1075">
        <v>6.2199999999999998E-2</v>
      </c>
      <c r="U9" s="1075">
        <v>6.4000000000000001E-2</v>
      </c>
      <c r="V9" s="1076">
        <v>6.4600000000000005E-2</v>
      </c>
      <c r="W9" s="1076">
        <v>7.6200000000000004E-2</v>
      </c>
      <c r="X9" s="1076">
        <v>6.7900000000000002E-2</v>
      </c>
      <c r="Y9" s="1076">
        <v>7.3099999999999998E-2</v>
      </c>
      <c r="Z9" s="1076">
        <v>7.4999999999999997E-2</v>
      </c>
      <c r="AA9" s="1076">
        <v>8.7300000000000003E-2</v>
      </c>
      <c r="AB9" s="1331"/>
      <c r="AC9" s="1331"/>
      <c r="AD9" s="1331"/>
      <c r="AE9" s="1331"/>
      <c r="AF9" s="549"/>
      <c r="AG9" s="1133"/>
    </row>
    <row r="10" spans="2:34" ht="26.25" customHeight="1" x14ac:dyDescent="0.2">
      <c r="B10" s="2343"/>
      <c r="C10" s="1389" t="s">
        <v>124</v>
      </c>
      <c r="D10" s="1077">
        <v>0.95079999999999998</v>
      </c>
      <c r="E10" s="1078">
        <v>0.92820000000000003</v>
      </c>
      <c r="F10" s="1100">
        <v>1.1234999999999999</v>
      </c>
      <c r="G10" s="1305">
        <v>0.79279999999999995</v>
      </c>
      <c r="H10" s="1305">
        <v>1.2624</v>
      </c>
      <c r="I10" s="1305">
        <v>1.1682999999999999</v>
      </c>
      <c r="J10" s="1078">
        <v>0.82599999999999996</v>
      </c>
      <c r="K10" s="1078">
        <v>0.81789999999999996</v>
      </c>
      <c r="L10" s="1078">
        <v>0.60580000000000001</v>
      </c>
      <c r="M10" s="1078">
        <v>0.71230000000000004</v>
      </c>
      <c r="N10" s="1078">
        <v>0.98660000000000003</v>
      </c>
      <c r="O10" s="1078">
        <v>0.93620000000000003</v>
      </c>
      <c r="P10" s="1100">
        <v>1</v>
      </c>
      <c r="Q10" s="1078">
        <v>0.94299999999999995</v>
      </c>
      <c r="R10" s="1078">
        <v>0.69299999999999995</v>
      </c>
      <c r="S10" s="1078">
        <v>0.99380000000000002</v>
      </c>
      <c r="T10" s="1078">
        <v>0.51690000000000003</v>
      </c>
      <c r="U10" s="1078">
        <v>0.56820000000000004</v>
      </c>
      <c r="V10" s="1334">
        <v>0.8</v>
      </c>
      <c r="W10" s="1334">
        <v>0.89700000000000002</v>
      </c>
      <c r="X10" s="1330">
        <v>0.54959999999999998</v>
      </c>
      <c r="Y10" s="1330">
        <v>0.52059999999999995</v>
      </c>
      <c r="Z10" s="1330">
        <v>0.51239999999999997</v>
      </c>
      <c r="AA10" s="1330">
        <v>0.50600000000000001</v>
      </c>
      <c r="AB10" s="1331">
        <v>0.95650000000000002</v>
      </c>
      <c r="AC10" s="1331">
        <v>0.90780000000000005</v>
      </c>
      <c r="AD10" s="1300">
        <v>0.97829999999999995</v>
      </c>
      <c r="AE10" s="1300">
        <v>0.84430000000000005</v>
      </c>
      <c r="AF10" s="549">
        <f>AVERAGE(AD10:AE10)</f>
        <v>0.9113</v>
      </c>
      <c r="AG10" s="1151">
        <f>AE10-AD10</f>
        <v>-0.1339999999999999</v>
      </c>
      <c r="AH10" s="781">
        <v>1</v>
      </c>
    </row>
    <row r="11" spans="2:34" ht="49.5" customHeight="1" x14ac:dyDescent="0.2">
      <c r="B11" s="2343"/>
      <c r="C11" s="1389" t="s">
        <v>125</v>
      </c>
      <c r="D11" s="2345">
        <v>3.0000000000000001E-3</v>
      </c>
      <c r="E11" s="2345"/>
      <c r="F11" s="2346">
        <v>2E-3</v>
      </c>
      <c r="G11" s="2346"/>
      <c r="H11" s="2347">
        <v>2.5999999999999999E-3</v>
      </c>
      <c r="I11" s="2347"/>
      <c r="J11" s="2336">
        <v>0.04</v>
      </c>
      <c r="K11" s="2336"/>
      <c r="L11" s="2336">
        <v>7.0000000000000007E-2</v>
      </c>
      <c r="M11" s="2336"/>
      <c r="N11" s="2335">
        <v>0.15</v>
      </c>
      <c r="O11" s="2335"/>
      <c r="P11" s="2335">
        <v>0.7</v>
      </c>
      <c r="Q11" s="2335"/>
      <c r="R11" s="2335">
        <v>0.15</v>
      </c>
      <c r="S11" s="2335"/>
      <c r="T11" s="2336">
        <v>0.2</v>
      </c>
      <c r="U11" s="2336"/>
      <c r="V11" s="2337">
        <v>0.13</v>
      </c>
      <c r="W11" s="2337"/>
      <c r="X11" s="2338">
        <v>0.24</v>
      </c>
      <c r="Y11" s="2338"/>
      <c r="Z11" s="2338">
        <v>0.21</v>
      </c>
      <c r="AA11" s="2338"/>
      <c r="AB11" s="2339">
        <v>0.41</v>
      </c>
      <c r="AC11" s="2339"/>
      <c r="AD11" s="2321">
        <v>7.0000000000000007E-2</v>
      </c>
      <c r="AE11" s="2321"/>
      <c r="AF11" s="1390">
        <f>AVERAGE(AB11:AE11)</f>
        <v>0.24</v>
      </c>
      <c r="AG11" s="1391">
        <f>AD11-AB11</f>
        <v>-0.33999999999999997</v>
      </c>
      <c r="AH11" s="781">
        <v>1</v>
      </c>
    </row>
    <row r="12" spans="2:34" ht="48" customHeight="1" x14ac:dyDescent="0.2">
      <c r="B12" s="2343"/>
      <c r="C12" s="1389" t="s">
        <v>788</v>
      </c>
      <c r="D12" s="1329"/>
      <c r="E12" s="1329"/>
      <c r="F12" s="1344"/>
      <c r="G12" s="1344"/>
      <c r="H12" s="1345"/>
      <c r="I12" s="1345"/>
      <c r="J12" s="1341"/>
      <c r="K12" s="1341"/>
      <c r="L12" s="1341"/>
      <c r="M12" s="1341"/>
      <c r="N12" s="1340"/>
      <c r="O12" s="1340"/>
      <c r="P12" s="1340"/>
      <c r="Q12" s="1340"/>
      <c r="R12" s="1340"/>
      <c r="S12" s="1340"/>
      <c r="T12" s="1341"/>
      <c r="U12" s="1341"/>
      <c r="V12" s="1342"/>
      <c r="W12" s="1342"/>
      <c r="X12" s="1343"/>
      <c r="Y12" s="1343"/>
      <c r="Z12" s="2348" t="s">
        <v>106</v>
      </c>
      <c r="AA12" s="2349"/>
      <c r="AB12" s="2350">
        <v>0.11169999999999999</v>
      </c>
      <c r="AC12" s="2351"/>
      <c r="AD12" s="2322">
        <v>207.07</v>
      </c>
      <c r="AE12" s="2323"/>
      <c r="AF12" s="1390">
        <f>AVERAGE(AB12:AE12)</f>
        <v>103.59085</v>
      </c>
      <c r="AG12" s="1391">
        <f>AD12-AB12</f>
        <v>206.95829999999998</v>
      </c>
      <c r="AH12" s="781">
        <v>1</v>
      </c>
    </row>
    <row r="13" spans="2:34" ht="54" customHeight="1" thickBot="1" x14ac:dyDescent="0.25">
      <c r="B13" s="2343"/>
      <c r="C13" s="1389" t="s">
        <v>789</v>
      </c>
      <c r="D13" s="1329"/>
      <c r="E13" s="1329"/>
      <c r="F13" s="1344"/>
      <c r="G13" s="1344"/>
      <c r="H13" s="1345"/>
      <c r="I13" s="1345"/>
      <c r="J13" s="1341"/>
      <c r="K13" s="1341"/>
      <c r="L13" s="1341"/>
      <c r="M13" s="1341"/>
      <c r="N13" s="1340"/>
      <c r="O13" s="1340"/>
      <c r="P13" s="1340"/>
      <c r="Q13" s="1340"/>
      <c r="R13" s="1340"/>
      <c r="S13" s="1340"/>
      <c r="T13" s="1341"/>
      <c r="U13" s="1341"/>
      <c r="V13" s="1342"/>
      <c r="W13" s="1342"/>
      <c r="X13" s="1343"/>
      <c r="Y13" s="1343"/>
      <c r="Z13" s="1330" t="s">
        <v>106</v>
      </c>
      <c r="AA13" s="1330" t="s">
        <v>106</v>
      </c>
      <c r="AB13" s="1392">
        <v>176357.92</v>
      </c>
      <c r="AC13" s="1392">
        <v>38541.550000000003</v>
      </c>
      <c r="AD13" s="2322">
        <v>0.09</v>
      </c>
      <c r="AE13" s="2323"/>
      <c r="AF13" s="1393">
        <f>AVERAGE(AB13:AC13)</f>
        <v>107449.73500000002</v>
      </c>
      <c r="AG13" s="1394">
        <f>AC13-AB13</f>
        <v>-137816.37</v>
      </c>
      <c r="AH13" s="781">
        <v>1</v>
      </c>
    </row>
    <row r="14" spans="2:34" ht="19.5" hidden="1" customHeight="1" thickBot="1" x14ac:dyDescent="0.25">
      <c r="B14" s="2344"/>
      <c r="C14" s="1395" t="s">
        <v>395</v>
      </c>
      <c r="D14" s="1134"/>
      <c r="E14" s="1134"/>
      <c r="F14" s="1134"/>
      <c r="G14" s="1134"/>
      <c r="H14" s="1135"/>
      <c r="I14" s="1136">
        <v>1</v>
      </c>
      <c r="J14" s="2352">
        <v>1</v>
      </c>
      <c r="K14" s="2352"/>
      <c r="L14" s="2352">
        <v>1</v>
      </c>
      <c r="M14" s="2352"/>
      <c r="N14" s="2352">
        <v>1</v>
      </c>
      <c r="O14" s="2352"/>
      <c r="P14" s="2352">
        <v>1</v>
      </c>
      <c r="Q14" s="2352"/>
      <c r="R14" s="2352">
        <v>1</v>
      </c>
      <c r="S14" s="2352"/>
      <c r="T14" s="2352">
        <v>1</v>
      </c>
      <c r="U14" s="2352"/>
      <c r="V14" s="2353">
        <v>1</v>
      </c>
      <c r="W14" s="2353"/>
      <c r="X14" s="2354">
        <v>1</v>
      </c>
      <c r="Y14" s="2354"/>
      <c r="Z14" s="2354">
        <v>1</v>
      </c>
      <c r="AA14" s="2354"/>
      <c r="AB14" s="2324"/>
      <c r="AC14" s="2324"/>
      <c r="AD14" s="2324"/>
      <c r="AE14" s="2324"/>
      <c r="AF14" s="1137"/>
      <c r="AG14" s="1138"/>
    </row>
    <row r="15" spans="2:34" ht="21" hidden="1" customHeight="1" x14ac:dyDescent="0.2">
      <c r="B15" s="985"/>
      <c r="C15" s="1396" t="s">
        <v>628</v>
      </c>
      <c r="D15" s="1117"/>
      <c r="E15" s="1117"/>
      <c r="F15" s="1117"/>
      <c r="G15" s="1117"/>
      <c r="H15" s="1118">
        <v>12.89</v>
      </c>
      <c r="I15" s="1119">
        <v>12.33</v>
      </c>
      <c r="J15" s="1119">
        <v>14.63</v>
      </c>
      <c r="K15" s="1120">
        <v>15.6</v>
      </c>
      <c r="L15" s="1120">
        <v>15.37</v>
      </c>
      <c r="M15" s="1120">
        <v>17.3</v>
      </c>
      <c r="N15" s="1121">
        <v>57.83</v>
      </c>
      <c r="O15" s="1121">
        <v>65.67</v>
      </c>
      <c r="P15" s="2355">
        <v>15.76</v>
      </c>
      <c r="Q15" s="2355"/>
      <c r="R15" s="2355">
        <v>17.16</v>
      </c>
      <c r="S15" s="2355"/>
      <c r="T15" s="2355">
        <v>17</v>
      </c>
      <c r="U15" s="2355"/>
      <c r="V15" s="2356"/>
      <c r="W15" s="2356"/>
      <c r="X15" s="2357"/>
      <c r="Y15" s="2357"/>
      <c r="Z15" s="2357"/>
      <c r="AA15" s="2357"/>
      <c r="AB15" s="2325"/>
      <c r="AC15" s="2325"/>
      <c r="AD15" s="2325"/>
      <c r="AE15" s="2325"/>
      <c r="AF15" s="1122"/>
      <c r="AG15" s="1123"/>
    </row>
    <row r="16" spans="2:34" ht="21.75" hidden="1" customHeight="1" x14ac:dyDescent="0.2">
      <c r="B16" s="987"/>
      <c r="C16" s="1378" t="s">
        <v>629</v>
      </c>
      <c r="D16" s="1079"/>
      <c r="E16" s="1079"/>
      <c r="F16" s="1079"/>
      <c r="G16" s="1079"/>
      <c r="H16" s="1080"/>
      <c r="I16" s="1081">
        <v>1.46</v>
      </c>
      <c r="J16" s="1082">
        <v>1.46</v>
      </c>
      <c r="K16" s="1082"/>
      <c r="L16" s="1082">
        <v>0.84</v>
      </c>
      <c r="M16" s="1082"/>
      <c r="N16" s="2363">
        <v>3.34</v>
      </c>
      <c r="O16" s="2363"/>
      <c r="P16" s="2363">
        <v>28.17</v>
      </c>
      <c r="Q16" s="2363"/>
      <c r="R16" s="2363">
        <v>26.59</v>
      </c>
      <c r="S16" s="2363"/>
      <c r="T16" s="2363">
        <v>14.11</v>
      </c>
      <c r="U16" s="2363"/>
      <c r="V16" s="2364"/>
      <c r="W16" s="2364"/>
      <c r="X16" s="2358"/>
      <c r="Y16" s="2358"/>
      <c r="Z16" s="2358"/>
      <c r="AA16" s="2358"/>
      <c r="AB16" s="2326"/>
      <c r="AC16" s="2326"/>
      <c r="AD16" s="2326"/>
      <c r="AE16" s="2326"/>
      <c r="AF16" s="986"/>
      <c r="AG16" s="982"/>
    </row>
    <row r="17" spans="2:34" ht="27.75" hidden="1" customHeight="1" thickBot="1" x14ac:dyDescent="0.25">
      <c r="B17" s="1139"/>
      <c r="C17" s="1397" t="s">
        <v>126</v>
      </c>
      <c r="D17" s="2359">
        <v>1E-3</v>
      </c>
      <c r="E17" s="2359"/>
      <c r="F17" s="2360">
        <v>1E-3</v>
      </c>
      <c r="G17" s="2360"/>
      <c r="H17" s="2361">
        <v>1.2999999999999999E-3</v>
      </c>
      <c r="I17" s="2361"/>
      <c r="J17" s="2362">
        <v>0.02</v>
      </c>
      <c r="K17" s="2362"/>
      <c r="L17" s="2362">
        <v>0.01</v>
      </c>
      <c r="M17" s="2362"/>
      <c r="N17" s="2362"/>
      <c r="O17" s="2362"/>
      <c r="P17" s="1339"/>
      <c r="Q17" s="1339"/>
      <c r="R17" s="1339"/>
      <c r="S17" s="1339"/>
      <c r="T17" s="1339"/>
      <c r="U17" s="1339"/>
      <c r="V17" s="1140"/>
      <c r="W17" s="1140"/>
      <c r="X17" s="1141"/>
      <c r="Y17" s="1141"/>
      <c r="Z17" s="1141"/>
      <c r="AA17" s="1141"/>
      <c r="AB17" s="1142"/>
      <c r="AC17" s="1142"/>
      <c r="AD17" s="1142"/>
      <c r="AE17" s="1142"/>
      <c r="AF17" s="1143"/>
      <c r="AG17" s="1144"/>
    </row>
    <row r="18" spans="2:34" ht="25.5" customHeight="1" x14ac:dyDescent="0.2">
      <c r="B18" s="2443" t="s">
        <v>1300</v>
      </c>
      <c r="C18" s="1398" t="s">
        <v>522</v>
      </c>
      <c r="D18" s="1145">
        <v>0.94</v>
      </c>
      <c r="E18" s="1146">
        <v>0.99</v>
      </c>
      <c r="F18" s="1146">
        <v>1</v>
      </c>
      <c r="G18" s="1146">
        <v>1</v>
      </c>
      <c r="H18" s="1146">
        <v>0.18</v>
      </c>
      <c r="I18" s="1315">
        <v>0.18</v>
      </c>
      <c r="J18" s="1315">
        <v>0.43</v>
      </c>
      <c r="K18" s="1315">
        <v>0.42</v>
      </c>
      <c r="L18" s="1315">
        <v>0.61</v>
      </c>
      <c r="M18" s="1315">
        <v>0.5</v>
      </c>
      <c r="N18" s="1315">
        <v>0.62</v>
      </c>
      <c r="O18" s="1315">
        <v>0.43</v>
      </c>
      <c r="P18" s="1315">
        <v>0.94</v>
      </c>
      <c r="Q18" s="1315">
        <v>0.93</v>
      </c>
      <c r="R18" s="1315">
        <v>0.99</v>
      </c>
      <c r="S18" s="1315">
        <v>0.62</v>
      </c>
      <c r="T18" s="1315">
        <v>1.1499999999999999</v>
      </c>
      <c r="U18" s="1315">
        <v>0.72</v>
      </c>
      <c r="V18" s="1147">
        <v>1.4</v>
      </c>
      <c r="W18" s="1147">
        <v>0.38</v>
      </c>
      <c r="X18" s="1148">
        <v>0.58130000000000004</v>
      </c>
      <c r="Y18" s="1148">
        <v>0.63939999999999997</v>
      </c>
      <c r="Z18" s="1148">
        <v>0.79720000000000002</v>
      </c>
      <c r="AA18" s="1148">
        <v>0.95760000000000001</v>
      </c>
      <c r="AB18" s="1149">
        <v>0.5232</v>
      </c>
      <c r="AC18" s="1149">
        <v>0.57199999999999995</v>
      </c>
      <c r="AD18" s="1399">
        <v>0.60919999999999996</v>
      </c>
      <c r="AE18" s="1399">
        <v>0.55010000000000003</v>
      </c>
      <c r="AF18" s="1131">
        <f t="shared" ref="AF18:AF21" si="2">AVERAGE(AD18:AE18)</f>
        <v>0.57965</v>
      </c>
      <c r="AG18" s="1150">
        <f t="shared" ref="AG18:AG21" si="3">AE18-AD18</f>
        <v>-5.909999999999993E-2</v>
      </c>
      <c r="AH18" s="781">
        <v>1</v>
      </c>
    </row>
    <row r="19" spans="2:34" ht="25.5" customHeight="1" x14ac:dyDescent="0.2">
      <c r="B19" s="2444"/>
      <c r="C19" s="1377" t="s">
        <v>622</v>
      </c>
      <c r="D19" s="1077"/>
      <c r="E19" s="1078"/>
      <c r="F19" s="1078"/>
      <c r="G19" s="1078"/>
      <c r="H19" s="1078"/>
      <c r="I19" s="1305"/>
      <c r="J19" s="1305"/>
      <c r="K19" s="1305"/>
      <c r="L19" s="1305"/>
      <c r="M19" s="1305"/>
      <c r="N19" s="1305"/>
      <c r="O19" s="1305"/>
      <c r="P19" s="1305"/>
      <c r="Q19" s="1305"/>
      <c r="R19" s="1305"/>
      <c r="S19" s="1305"/>
      <c r="T19" s="1305"/>
      <c r="U19" s="1305"/>
      <c r="V19" s="1083" t="s">
        <v>106</v>
      </c>
      <c r="W19" s="1083" t="s">
        <v>106</v>
      </c>
      <c r="X19" s="1330">
        <v>0.66539999999999999</v>
      </c>
      <c r="Y19" s="1330">
        <v>0.39069999999999999</v>
      </c>
      <c r="Z19" s="1330">
        <v>0.22850000000000001</v>
      </c>
      <c r="AA19" s="1097">
        <v>1.1717</v>
      </c>
      <c r="AB19" s="1331">
        <v>0.41439999999999999</v>
      </c>
      <c r="AC19" s="1331">
        <v>0.34549999999999997</v>
      </c>
      <c r="AD19" s="1300">
        <v>0.3412</v>
      </c>
      <c r="AE19" s="1300">
        <v>0.50590000000000002</v>
      </c>
      <c r="AF19" s="549">
        <f t="shared" si="2"/>
        <v>0.42354999999999998</v>
      </c>
      <c r="AG19" s="1151">
        <f t="shared" si="3"/>
        <v>0.16470000000000001</v>
      </c>
      <c r="AH19" s="781">
        <v>1</v>
      </c>
    </row>
    <row r="20" spans="2:34" ht="23.25" customHeight="1" x14ac:dyDescent="0.2">
      <c r="B20" s="2444"/>
      <c r="C20" s="1377" t="s">
        <v>271</v>
      </c>
      <c r="D20" s="1321">
        <v>0.89</v>
      </c>
      <c r="E20" s="1311">
        <v>1</v>
      </c>
      <c r="F20" s="1311">
        <v>0.95</v>
      </c>
      <c r="G20" s="1311">
        <v>1</v>
      </c>
      <c r="H20" s="1338">
        <v>0.3</v>
      </c>
      <c r="I20" s="1338">
        <v>0.36</v>
      </c>
      <c r="J20" s="1338">
        <v>1.49</v>
      </c>
      <c r="K20" s="1338">
        <v>1.8</v>
      </c>
      <c r="L20" s="1338">
        <v>0.51</v>
      </c>
      <c r="M20" s="1338">
        <v>0.64</v>
      </c>
      <c r="N20" s="1338">
        <v>0.83</v>
      </c>
      <c r="O20" s="1338">
        <v>0.72</v>
      </c>
      <c r="P20" s="1338">
        <v>0.9</v>
      </c>
      <c r="Q20" s="1338">
        <v>1.76</v>
      </c>
      <c r="R20" s="1338">
        <v>1.62</v>
      </c>
      <c r="S20" s="1338">
        <v>1.71</v>
      </c>
      <c r="T20" s="1338">
        <v>1.35</v>
      </c>
      <c r="U20" s="1338">
        <v>1.86</v>
      </c>
      <c r="V20" s="1335">
        <v>1.93</v>
      </c>
      <c r="W20" s="1335">
        <v>1.43</v>
      </c>
      <c r="X20" s="1336">
        <v>0.35270000000000001</v>
      </c>
      <c r="Y20" s="1336">
        <v>0.34139999999999998</v>
      </c>
      <c r="Z20" s="1336">
        <v>0.33729999999999999</v>
      </c>
      <c r="AA20" s="1336">
        <v>0.1948</v>
      </c>
      <c r="AB20" s="1337">
        <v>0.17730000000000001</v>
      </c>
      <c r="AC20" s="1337">
        <v>0.19670000000000001</v>
      </c>
      <c r="AD20" s="1300">
        <v>0.17519999999999999</v>
      </c>
      <c r="AE20" s="1300">
        <v>0.2039</v>
      </c>
      <c r="AF20" s="549">
        <f t="shared" si="2"/>
        <v>0.18955</v>
      </c>
      <c r="AG20" s="1151">
        <f t="shared" si="3"/>
        <v>2.8700000000000003E-2</v>
      </c>
      <c r="AH20" s="781">
        <v>1</v>
      </c>
    </row>
    <row r="21" spans="2:34" ht="40.5" customHeight="1" x14ac:dyDescent="0.2">
      <c r="B21" s="2444"/>
      <c r="C21" s="1377" t="s">
        <v>272</v>
      </c>
      <c r="D21" s="1329">
        <v>0.94</v>
      </c>
      <c r="E21" s="1344">
        <v>0.97</v>
      </c>
      <c r="F21" s="1344">
        <v>0.93</v>
      </c>
      <c r="G21" s="1344">
        <v>1</v>
      </c>
      <c r="H21" s="1338">
        <v>7.0000000000000007E-2</v>
      </c>
      <c r="I21" s="1338">
        <v>0.09</v>
      </c>
      <c r="J21" s="1338">
        <v>0.22</v>
      </c>
      <c r="K21" s="1338">
        <v>0.2</v>
      </c>
      <c r="L21" s="1338">
        <v>0.47</v>
      </c>
      <c r="M21" s="1338">
        <v>0.7</v>
      </c>
      <c r="N21" s="1338">
        <v>0.83</v>
      </c>
      <c r="O21" s="1338">
        <v>0.67</v>
      </c>
      <c r="P21" s="1338">
        <v>0.9</v>
      </c>
      <c r="Q21" s="1338">
        <v>1.2</v>
      </c>
      <c r="R21" s="1338">
        <v>0.82</v>
      </c>
      <c r="S21" s="1338">
        <v>0.54</v>
      </c>
      <c r="T21" s="1338">
        <v>1.93</v>
      </c>
      <c r="U21" s="1338">
        <v>1.75</v>
      </c>
      <c r="V21" s="1335">
        <v>2.63</v>
      </c>
      <c r="W21" s="1335">
        <v>2.72</v>
      </c>
      <c r="X21" s="1336">
        <v>0.27539999999999998</v>
      </c>
      <c r="Y21" s="1336">
        <v>0.28620000000000001</v>
      </c>
      <c r="Z21" s="1336">
        <v>0.33579999999999999</v>
      </c>
      <c r="AA21" s="1336">
        <v>6.13E-2</v>
      </c>
      <c r="AB21" s="1337">
        <v>8.1000000000000003E-2</v>
      </c>
      <c r="AC21" s="1337">
        <v>0.15989999999999999</v>
      </c>
      <c r="AD21" s="1300">
        <v>0.1065</v>
      </c>
      <c r="AE21" s="1300">
        <v>0.13120000000000001</v>
      </c>
      <c r="AF21" s="549">
        <f t="shared" si="2"/>
        <v>0.11885000000000001</v>
      </c>
      <c r="AG21" s="1151">
        <f t="shared" si="3"/>
        <v>2.4700000000000014E-2</v>
      </c>
      <c r="AH21" s="781">
        <v>1</v>
      </c>
    </row>
    <row r="22" spans="2:34" ht="46.5" customHeight="1" x14ac:dyDescent="0.2">
      <c r="B22" s="2444"/>
      <c r="C22" s="1377" t="s">
        <v>856</v>
      </c>
      <c r="D22" s="1329"/>
      <c r="E22" s="1344"/>
      <c r="F22" s="1344"/>
      <c r="G22" s="1344"/>
      <c r="H22" s="1338"/>
      <c r="I22" s="1338"/>
      <c r="J22" s="1338"/>
      <c r="K22" s="1338"/>
      <c r="L22" s="1338"/>
      <c r="M22" s="1338"/>
      <c r="N22" s="1338"/>
      <c r="O22" s="1338"/>
      <c r="P22" s="2367">
        <v>0.94</v>
      </c>
      <c r="Q22" s="2367"/>
      <c r="R22" s="2367">
        <v>0.87</v>
      </c>
      <c r="S22" s="2367"/>
      <c r="T22" s="2367">
        <v>0.8</v>
      </c>
      <c r="U22" s="2367"/>
      <c r="V22" s="2368">
        <v>0.73</v>
      </c>
      <c r="W22" s="2368"/>
      <c r="X22" s="2365">
        <v>0.84799999999999998</v>
      </c>
      <c r="Y22" s="2365"/>
      <c r="Z22" s="2365">
        <v>0.8</v>
      </c>
      <c r="AA22" s="2365"/>
      <c r="AB22" s="2366">
        <v>0.88890000000000002</v>
      </c>
      <c r="AC22" s="2366"/>
      <c r="AD22" s="2327">
        <v>0.92469999999999997</v>
      </c>
      <c r="AE22" s="2327"/>
      <c r="AF22" s="1390">
        <f>AVERAGE(AB22:AE22)</f>
        <v>0.90680000000000005</v>
      </c>
      <c r="AG22" s="1391">
        <f>AD22-AB22</f>
        <v>3.5799999999999943E-2</v>
      </c>
      <c r="AH22" s="781">
        <v>1</v>
      </c>
    </row>
    <row r="23" spans="2:34" ht="53.25" customHeight="1" x14ac:dyDescent="0.2">
      <c r="B23" s="2444"/>
      <c r="C23" s="1377" t="s">
        <v>273</v>
      </c>
      <c r="D23" s="1329">
        <v>0.93</v>
      </c>
      <c r="E23" s="1344">
        <v>1</v>
      </c>
      <c r="F23" s="1344">
        <v>0.83</v>
      </c>
      <c r="G23" s="1344">
        <v>1</v>
      </c>
      <c r="H23" s="1338">
        <v>0.05</v>
      </c>
      <c r="I23" s="1338">
        <v>0.02</v>
      </c>
      <c r="J23" s="1338">
        <v>0.08</v>
      </c>
      <c r="K23" s="1338">
        <v>0.15</v>
      </c>
      <c r="L23" s="1338">
        <v>0.11</v>
      </c>
      <c r="M23" s="1338">
        <v>0.2</v>
      </c>
      <c r="N23" s="1338">
        <v>0.22</v>
      </c>
      <c r="O23" s="1338">
        <v>0.25</v>
      </c>
      <c r="P23" s="1338">
        <v>0.91</v>
      </c>
      <c r="Q23" s="1338">
        <v>0.91</v>
      </c>
      <c r="R23" s="1338">
        <v>0.998</v>
      </c>
      <c r="S23" s="1338">
        <v>0.47</v>
      </c>
      <c r="T23" s="1338">
        <v>0.72</v>
      </c>
      <c r="U23" s="1338">
        <v>1.18</v>
      </c>
      <c r="V23" s="1335">
        <v>0.56000000000000005</v>
      </c>
      <c r="W23" s="1335">
        <v>0.78</v>
      </c>
      <c r="X23" s="1336">
        <v>0.19189999999999999</v>
      </c>
      <c r="Y23" s="1336">
        <v>0.2402</v>
      </c>
      <c r="Z23" s="1336">
        <v>0.14419999999999999</v>
      </c>
      <c r="AA23" s="1336">
        <v>0.1913</v>
      </c>
      <c r="AB23" s="1337">
        <v>0.62580000000000002</v>
      </c>
      <c r="AC23" s="1337">
        <v>0.46360000000000001</v>
      </c>
      <c r="AD23" s="1300">
        <v>0.26529999999999998</v>
      </c>
      <c r="AE23" s="1300">
        <v>0.33679999999999999</v>
      </c>
      <c r="AF23" s="549">
        <f t="shared" ref="AF23" si="4">AVERAGE(AD23:AE23)</f>
        <v>0.30104999999999998</v>
      </c>
      <c r="AG23" s="1151">
        <f t="shared" ref="AG23" si="5">AE23-AD23</f>
        <v>7.1500000000000008E-2</v>
      </c>
      <c r="AH23" s="781">
        <v>1</v>
      </c>
    </row>
    <row r="24" spans="2:34" ht="21" customHeight="1" x14ac:dyDescent="0.2">
      <c r="B24" s="2444"/>
      <c r="C24" s="1400" t="s">
        <v>392</v>
      </c>
      <c r="D24" s="1084"/>
      <c r="E24" s="1084"/>
      <c r="F24" s="1084"/>
      <c r="G24" s="1084"/>
      <c r="H24" s="1084"/>
      <c r="I24" s="1084"/>
      <c r="J24" s="1084"/>
      <c r="K24" s="1084"/>
      <c r="L24" s="1084"/>
      <c r="M24" s="1084"/>
      <c r="N24" s="1084"/>
      <c r="O24" s="1084"/>
      <c r="P24" s="2367">
        <v>0.73</v>
      </c>
      <c r="Q24" s="2367"/>
      <c r="R24" s="2367">
        <v>0.64</v>
      </c>
      <c r="S24" s="2367"/>
      <c r="T24" s="2367">
        <v>0.63</v>
      </c>
      <c r="U24" s="2367"/>
      <c r="V24" s="2368">
        <v>0.67</v>
      </c>
      <c r="W24" s="2368"/>
      <c r="X24" s="2365">
        <v>2.5700000000000001E-2</v>
      </c>
      <c r="Y24" s="2365"/>
      <c r="Z24" s="2365">
        <v>2.0299999999999999E-2</v>
      </c>
      <c r="AA24" s="2365"/>
      <c r="AB24" s="2366">
        <v>1.9599999999999999E-2</v>
      </c>
      <c r="AC24" s="2366"/>
      <c r="AD24" s="2327">
        <v>0.02</v>
      </c>
      <c r="AE24" s="2327"/>
      <c r="AF24" s="293">
        <f>AVERAGE(Z24:AC24)</f>
        <v>1.9949999999999999E-2</v>
      </c>
      <c r="AG24" s="1152">
        <f>AB24-Z24</f>
        <v>-6.9999999999999923E-4</v>
      </c>
      <c r="AH24" s="781">
        <v>1</v>
      </c>
    </row>
    <row r="25" spans="2:34" ht="56.25" customHeight="1" thickBot="1" x14ac:dyDescent="0.25">
      <c r="B25" s="2451"/>
      <c r="C25" s="1401" t="s">
        <v>792</v>
      </c>
      <c r="D25" s="1153"/>
      <c r="E25" s="1153"/>
      <c r="F25" s="1153"/>
      <c r="G25" s="1153"/>
      <c r="H25" s="1153"/>
      <c r="I25" s="1153"/>
      <c r="J25" s="1153"/>
      <c r="K25" s="1153"/>
      <c r="L25" s="1153"/>
      <c r="M25" s="1153"/>
      <c r="N25" s="1153"/>
      <c r="O25" s="1153"/>
      <c r="P25" s="1154"/>
      <c r="Q25" s="1154"/>
      <c r="R25" s="1154"/>
      <c r="S25" s="1154"/>
      <c r="T25" s="1154"/>
      <c r="U25" s="1154"/>
      <c r="V25" s="1155"/>
      <c r="W25" s="1155"/>
      <c r="X25" s="1156"/>
      <c r="Y25" s="1156"/>
      <c r="Z25" s="1156"/>
      <c r="AA25" s="1156"/>
      <c r="AB25" s="1157">
        <v>3.9399999999999998E-2</v>
      </c>
      <c r="AC25" s="1157">
        <v>4.8899999999999999E-2</v>
      </c>
      <c r="AD25" s="1402">
        <v>2.2800000000000001E-2</v>
      </c>
      <c r="AE25" s="1402">
        <v>5.96E-2</v>
      </c>
      <c r="AF25" s="1158">
        <f t="shared" ref="AF25" si="6">AVERAGE(AD25:AE25)</f>
        <v>4.1200000000000001E-2</v>
      </c>
      <c r="AG25" s="1159">
        <f t="shared" ref="AG25" si="7">AE25-AD25</f>
        <v>3.6799999999999999E-2</v>
      </c>
      <c r="AH25" s="781">
        <v>1</v>
      </c>
    </row>
    <row r="26" spans="2:34" ht="48.75" customHeight="1" x14ac:dyDescent="0.2">
      <c r="B26" s="2443" t="s">
        <v>1250</v>
      </c>
      <c r="C26" s="1403" t="s">
        <v>793</v>
      </c>
      <c r="D26" s="1160"/>
      <c r="E26" s="1160"/>
      <c r="F26" s="1160"/>
      <c r="G26" s="1160"/>
      <c r="H26" s="1160"/>
      <c r="I26" s="1160"/>
      <c r="J26" s="1160"/>
      <c r="K26" s="1160"/>
      <c r="L26" s="1160"/>
      <c r="M26" s="1160"/>
      <c r="N26" s="1160"/>
      <c r="O26" s="1160"/>
      <c r="P26" s="1161"/>
      <c r="Q26" s="1161"/>
      <c r="R26" s="1161"/>
      <c r="S26" s="1161"/>
      <c r="T26" s="1161"/>
      <c r="U26" s="1161"/>
      <c r="V26" s="1162"/>
      <c r="W26" s="1162"/>
      <c r="X26" s="1163"/>
      <c r="Y26" s="1163"/>
      <c r="Z26" s="1163"/>
      <c r="AA26" s="1163"/>
      <c r="AB26" s="1164">
        <v>2.8299999999999999E-2</v>
      </c>
      <c r="AC26" s="1164">
        <v>3.0300000000000001E-2</v>
      </c>
      <c r="AD26" s="1404">
        <v>7.1999999999999998E-3</v>
      </c>
      <c r="AE26" s="1404">
        <v>1.7899999999999999E-2</v>
      </c>
      <c r="AF26" s="1131">
        <f t="shared" ref="AF26:AF29" si="8">AVERAGE(AD26:AE26)</f>
        <v>1.2549999999999999E-2</v>
      </c>
      <c r="AG26" s="1150">
        <f t="shared" ref="AG26:AG29" si="9">AE26-AD26</f>
        <v>1.0699999999999999E-2</v>
      </c>
      <c r="AH26" s="781">
        <v>1</v>
      </c>
    </row>
    <row r="27" spans="2:34" ht="57" customHeight="1" x14ac:dyDescent="0.2">
      <c r="B27" s="2444"/>
      <c r="C27" s="1400" t="s">
        <v>795</v>
      </c>
      <c r="D27" s="1084"/>
      <c r="E27" s="1084"/>
      <c r="F27" s="1084"/>
      <c r="G27" s="1084"/>
      <c r="H27" s="1084"/>
      <c r="I27" s="1084"/>
      <c r="J27" s="1084"/>
      <c r="K27" s="1084"/>
      <c r="L27" s="1084"/>
      <c r="M27" s="1084"/>
      <c r="N27" s="1084"/>
      <c r="O27" s="1084"/>
      <c r="P27" s="1338"/>
      <c r="Q27" s="1338"/>
      <c r="R27" s="1338"/>
      <c r="S27" s="1338"/>
      <c r="T27" s="1338"/>
      <c r="U27" s="1338"/>
      <c r="V27" s="1335"/>
      <c r="W27" s="1335"/>
      <c r="X27" s="1336"/>
      <c r="Y27" s="1336"/>
      <c r="Z27" s="1336"/>
      <c r="AA27" s="1336"/>
      <c r="AB27" s="1337">
        <v>0</v>
      </c>
      <c r="AC27" s="1337">
        <v>0</v>
      </c>
      <c r="AD27" s="1405">
        <v>0</v>
      </c>
      <c r="AE27" s="1405">
        <v>2.5899999999999999E-2</v>
      </c>
      <c r="AF27" s="549">
        <f t="shared" si="8"/>
        <v>1.295E-2</v>
      </c>
      <c r="AG27" s="1151">
        <f t="shared" si="9"/>
        <v>2.5899999999999999E-2</v>
      </c>
      <c r="AH27" s="781">
        <v>1</v>
      </c>
    </row>
    <row r="28" spans="2:34" ht="48.75" customHeight="1" x14ac:dyDescent="0.2">
      <c r="B28" s="2444"/>
      <c r="C28" s="1400" t="s">
        <v>797</v>
      </c>
      <c r="D28" s="1084"/>
      <c r="E28" s="1084"/>
      <c r="F28" s="1084"/>
      <c r="G28" s="1084"/>
      <c r="H28" s="1084"/>
      <c r="I28" s="1084"/>
      <c r="J28" s="1084"/>
      <c r="K28" s="1084"/>
      <c r="L28" s="1084"/>
      <c r="M28" s="1084"/>
      <c r="N28" s="1084"/>
      <c r="O28" s="1084"/>
      <c r="P28" s="1338"/>
      <c r="Q28" s="1338"/>
      <c r="R28" s="1338"/>
      <c r="S28" s="1338"/>
      <c r="T28" s="1338"/>
      <c r="U28" s="1338"/>
      <c r="V28" s="1335"/>
      <c r="W28" s="1335"/>
      <c r="X28" s="1336"/>
      <c r="Y28" s="1336"/>
      <c r="Z28" s="1336"/>
      <c r="AA28" s="1336"/>
      <c r="AB28" s="1337">
        <v>0.55069999999999997</v>
      </c>
      <c r="AC28" s="1337">
        <v>0.60329999999999995</v>
      </c>
      <c r="AD28" s="1405">
        <v>0.46200000000000002</v>
      </c>
      <c r="AE28" s="1405">
        <v>0.4672</v>
      </c>
      <c r="AF28" s="549">
        <f t="shared" si="8"/>
        <v>0.46460000000000001</v>
      </c>
      <c r="AG28" s="1151">
        <f t="shared" si="9"/>
        <v>5.1999999999999824E-3</v>
      </c>
      <c r="AH28" s="781">
        <v>1</v>
      </c>
    </row>
    <row r="29" spans="2:34" ht="48.75" customHeight="1" thickBot="1" x14ac:dyDescent="0.25">
      <c r="B29" s="2444"/>
      <c r="C29" s="1406" t="s">
        <v>868</v>
      </c>
      <c r="D29" s="1172"/>
      <c r="E29" s="1172"/>
      <c r="F29" s="1172"/>
      <c r="G29" s="1172"/>
      <c r="H29" s="1172"/>
      <c r="I29" s="1172"/>
      <c r="J29" s="1172"/>
      <c r="K29" s="1172"/>
      <c r="L29" s="1172"/>
      <c r="M29" s="1172"/>
      <c r="N29" s="1172"/>
      <c r="O29" s="1172"/>
      <c r="P29" s="1173"/>
      <c r="Q29" s="1173"/>
      <c r="R29" s="1173"/>
      <c r="S29" s="1173"/>
      <c r="T29" s="1173"/>
      <c r="U29" s="1173"/>
      <c r="V29" s="1174"/>
      <c r="W29" s="1174"/>
      <c r="X29" s="1175"/>
      <c r="Y29" s="1175"/>
      <c r="Z29" s="1175"/>
      <c r="AA29" s="1175"/>
      <c r="AB29" s="1176">
        <v>9.1000000000000004E-3</v>
      </c>
      <c r="AC29" s="1176">
        <v>2.3800000000000002E-2</v>
      </c>
      <c r="AD29" s="1407">
        <v>3.0000000000000001E-3</v>
      </c>
      <c r="AE29" s="1407">
        <v>8.9999999999999993E-3</v>
      </c>
      <c r="AF29" s="1106">
        <f t="shared" si="8"/>
        <v>6.0000000000000001E-3</v>
      </c>
      <c r="AG29" s="1177">
        <f t="shared" si="9"/>
        <v>5.9999999999999993E-3</v>
      </c>
      <c r="AH29" s="781">
        <v>1</v>
      </c>
    </row>
    <row r="30" spans="2:34" ht="21.75" customHeight="1" x14ac:dyDescent="0.2">
      <c r="B30" s="2456" t="s">
        <v>472</v>
      </c>
      <c r="C30" s="1398" t="s">
        <v>45</v>
      </c>
      <c r="D30" s="1165">
        <v>0.34799999999999998</v>
      </c>
      <c r="E30" s="1165">
        <v>0.02</v>
      </c>
      <c r="F30" s="1166">
        <v>0.33</v>
      </c>
      <c r="G30" s="1161">
        <v>0.25</v>
      </c>
      <c r="H30" s="1161">
        <v>0.27500000000000002</v>
      </c>
      <c r="I30" s="1161">
        <v>0.38500000000000001</v>
      </c>
      <c r="J30" s="1161">
        <v>0.13900000000000001</v>
      </c>
      <c r="K30" s="1161">
        <v>3.3000000000000002E-2</v>
      </c>
      <c r="L30" s="1161">
        <v>0.09</v>
      </c>
      <c r="M30" s="1161">
        <v>0.16</v>
      </c>
      <c r="N30" s="1161">
        <v>0.17</v>
      </c>
      <c r="O30" s="1161">
        <v>0.15</v>
      </c>
      <c r="P30" s="1161">
        <v>0.19</v>
      </c>
      <c r="Q30" s="1161">
        <v>0.06</v>
      </c>
      <c r="R30" s="1161">
        <v>0.05</v>
      </c>
      <c r="S30" s="1161">
        <v>0.09</v>
      </c>
      <c r="T30" s="1161">
        <v>0.13</v>
      </c>
      <c r="U30" s="1161">
        <v>0.17</v>
      </c>
      <c r="V30" s="1162">
        <v>0.14000000000000001</v>
      </c>
      <c r="W30" s="1162">
        <v>0.09</v>
      </c>
      <c r="X30" s="1163">
        <v>7.6899999999999996E-2</v>
      </c>
      <c r="Y30" s="1163">
        <v>0</v>
      </c>
      <c r="Z30" s="1163">
        <v>5.3600000000000002E-2</v>
      </c>
      <c r="AA30" s="1163">
        <v>5.2600000000000001E-2</v>
      </c>
      <c r="AB30" s="1164">
        <v>0</v>
      </c>
      <c r="AC30" s="1164">
        <v>0</v>
      </c>
      <c r="AD30" s="1408">
        <v>0.05</v>
      </c>
      <c r="AE30" s="1408">
        <v>5.8799999999999998E-2</v>
      </c>
      <c r="AF30" s="1131">
        <f t="shared" ref="AF30:AF32" si="10">AVERAGE(AD30:AE30)</f>
        <v>5.4400000000000004E-2</v>
      </c>
      <c r="AG30" s="1150">
        <f t="shared" ref="AG30:AG32" si="11">AE30-AD30</f>
        <v>8.7999999999999953E-3</v>
      </c>
      <c r="AH30" s="781">
        <v>1</v>
      </c>
    </row>
    <row r="31" spans="2:34" ht="21.75" customHeight="1" x14ac:dyDescent="0.2">
      <c r="B31" s="2457"/>
      <c r="C31" s="1377" t="s">
        <v>46</v>
      </c>
      <c r="D31" s="1525">
        <v>0.95699999999999996</v>
      </c>
      <c r="E31" s="1525">
        <v>0.92200000000000004</v>
      </c>
      <c r="F31" s="1085">
        <v>0.59</v>
      </c>
      <c r="G31" s="1072">
        <v>0.56999999999999995</v>
      </c>
      <c r="H31" s="1072">
        <v>0.82499999999999996</v>
      </c>
      <c r="I31" s="1072">
        <v>0.69199999999999995</v>
      </c>
      <c r="J31" s="1072">
        <v>0.94399999999999995</v>
      </c>
      <c r="K31" s="1072">
        <v>0.96699999999999997</v>
      </c>
      <c r="L31" s="1072">
        <v>0.96</v>
      </c>
      <c r="M31" s="1072">
        <v>0.94</v>
      </c>
      <c r="N31" s="1072">
        <v>1</v>
      </c>
      <c r="O31" s="1072">
        <v>1</v>
      </c>
      <c r="P31" s="1072">
        <v>0.88</v>
      </c>
      <c r="Q31" s="1072">
        <v>1</v>
      </c>
      <c r="R31" s="1072">
        <v>0.91</v>
      </c>
      <c r="S31" s="1072">
        <v>0.86</v>
      </c>
      <c r="T31" s="1072">
        <v>0.94</v>
      </c>
      <c r="U31" s="1072">
        <v>0.83</v>
      </c>
      <c r="V31" s="1086">
        <v>1</v>
      </c>
      <c r="W31" s="1086">
        <v>0.93</v>
      </c>
      <c r="X31" s="1097">
        <v>1</v>
      </c>
      <c r="Y31" s="1097">
        <v>1</v>
      </c>
      <c r="Z31" s="1098">
        <v>1</v>
      </c>
      <c r="AA31" s="1527">
        <v>0.89</v>
      </c>
      <c r="AB31" s="1528">
        <v>1</v>
      </c>
      <c r="AC31" s="1528">
        <v>0.92310000000000003</v>
      </c>
      <c r="AD31" s="1409">
        <v>0.93330000000000002</v>
      </c>
      <c r="AE31" s="1409">
        <v>1</v>
      </c>
      <c r="AF31" s="549">
        <f t="shared" si="10"/>
        <v>0.96665000000000001</v>
      </c>
      <c r="AG31" s="1151">
        <f t="shared" si="11"/>
        <v>6.6699999999999982E-2</v>
      </c>
      <c r="AH31" s="781">
        <v>1</v>
      </c>
    </row>
    <row r="32" spans="2:34" ht="33" customHeight="1" x14ac:dyDescent="0.2">
      <c r="B32" s="2457"/>
      <c r="C32" s="1377" t="s">
        <v>127</v>
      </c>
      <c r="D32" s="1525"/>
      <c r="E32" s="1525"/>
      <c r="F32" s="1085"/>
      <c r="G32" s="1072"/>
      <c r="H32" s="1072"/>
      <c r="I32" s="1072">
        <v>0.76900000000000002</v>
      </c>
      <c r="J32" s="1072">
        <v>0.94399999999999995</v>
      </c>
      <c r="K32" s="1072">
        <v>1</v>
      </c>
      <c r="L32" s="1072">
        <v>0.73</v>
      </c>
      <c r="M32" s="1072">
        <v>0.78</v>
      </c>
      <c r="N32" s="1072">
        <v>1</v>
      </c>
      <c r="O32" s="1072">
        <v>1</v>
      </c>
      <c r="P32" s="1072">
        <v>0.94</v>
      </c>
      <c r="Q32" s="1072">
        <v>1</v>
      </c>
      <c r="R32" s="1072">
        <v>0.86</v>
      </c>
      <c r="S32" s="1072">
        <v>0.73</v>
      </c>
      <c r="T32" s="1072">
        <v>0.75</v>
      </c>
      <c r="U32" s="1072">
        <v>0.67</v>
      </c>
      <c r="V32" s="1086">
        <v>0.9</v>
      </c>
      <c r="W32" s="1086">
        <v>0.91</v>
      </c>
      <c r="X32" s="1523">
        <v>0.84619999999999995</v>
      </c>
      <c r="Y32" s="1523">
        <v>0.9</v>
      </c>
      <c r="Z32" s="1527">
        <v>0.96430000000000005</v>
      </c>
      <c r="AA32" s="1527">
        <v>0.89</v>
      </c>
      <c r="AB32" s="1528">
        <v>0.83330000000000004</v>
      </c>
      <c r="AC32" s="1528">
        <v>0.80769999999999997</v>
      </c>
      <c r="AD32" s="1409">
        <v>0.85</v>
      </c>
      <c r="AE32" s="1409">
        <v>0.84130000000000005</v>
      </c>
      <c r="AF32" s="549">
        <f t="shared" si="10"/>
        <v>0.84565000000000001</v>
      </c>
      <c r="AG32" s="1151">
        <f t="shared" si="11"/>
        <v>-8.69999999999993E-3</v>
      </c>
      <c r="AH32" s="781">
        <v>1</v>
      </c>
    </row>
    <row r="33" spans="1:34" ht="33" customHeight="1" x14ac:dyDescent="0.2">
      <c r="B33" s="2457"/>
      <c r="C33" s="1377" t="s">
        <v>630</v>
      </c>
      <c r="D33" s="1525"/>
      <c r="E33" s="1525"/>
      <c r="F33" s="1085"/>
      <c r="G33" s="1072"/>
      <c r="H33" s="1072"/>
      <c r="I33" s="1072"/>
      <c r="J33" s="1072"/>
      <c r="K33" s="1072"/>
      <c r="L33" s="1072"/>
      <c r="M33" s="1072"/>
      <c r="N33" s="1072"/>
      <c r="O33" s="1072"/>
      <c r="P33" s="1072"/>
      <c r="Q33" s="1072"/>
      <c r="R33" s="1072"/>
      <c r="S33" s="1072"/>
      <c r="T33" s="1072"/>
      <c r="U33" s="1072"/>
      <c r="V33" s="2371">
        <v>0.91239999999999999</v>
      </c>
      <c r="W33" s="2371"/>
      <c r="X33" s="2369">
        <v>0.89659999999999995</v>
      </c>
      <c r="Y33" s="2369"/>
      <c r="Z33" s="2369">
        <v>0.90629999999999999</v>
      </c>
      <c r="AA33" s="2369"/>
      <c r="AB33" s="2370">
        <v>0.83160000000000001</v>
      </c>
      <c r="AC33" s="2370"/>
      <c r="AD33" s="2317">
        <v>0.97389999999999999</v>
      </c>
      <c r="AE33" s="2317"/>
      <c r="AF33" s="1390">
        <f t="shared" ref="AF33:AF46" si="12">AVERAGE(AB33:AE33)</f>
        <v>0.90274999999999994</v>
      </c>
      <c r="AG33" s="1391">
        <f t="shared" ref="AG33:AG46" si="13">AD33-AB33</f>
        <v>0.14229999999999998</v>
      </c>
      <c r="AH33" s="781">
        <v>1</v>
      </c>
    </row>
    <row r="34" spans="1:34" ht="33" customHeight="1" x14ac:dyDescent="0.2">
      <c r="B34" s="2457"/>
      <c r="C34" s="1377" t="s">
        <v>631</v>
      </c>
      <c r="D34" s="1525"/>
      <c r="E34" s="1525"/>
      <c r="F34" s="1085"/>
      <c r="G34" s="1072"/>
      <c r="H34" s="1072"/>
      <c r="I34" s="1072"/>
      <c r="J34" s="1072"/>
      <c r="K34" s="1072"/>
      <c r="L34" s="1072"/>
      <c r="M34" s="1072"/>
      <c r="N34" s="1072"/>
      <c r="O34" s="1072"/>
      <c r="P34" s="1072"/>
      <c r="Q34" s="1072"/>
      <c r="R34" s="1072"/>
      <c r="S34" s="1072"/>
      <c r="T34" s="1072"/>
      <c r="U34" s="1072"/>
      <c r="V34" s="2371">
        <v>0.7581</v>
      </c>
      <c r="W34" s="2371"/>
      <c r="X34" s="2369">
        <v>0.75049999999999994</v>
      </c>
      <c r="Y34" s="2369"/>
      <c r="Z34" s="2369">
        <v>0.85050000000000003</v>
      </c>
      <c r="AA34" s="2369"/>
      <c r="AB34" s="2370">
        <v>0.84209999999999996</v>
      </c>
      <c r="AC34" s="2370"/>
      <c r="AD34" s="2317">
        <v>0.98480000000000001</v>
      </c>
      <c r="AE34" s="2317"/>
      <c r="AF34" s="1390">
        <f t="shared" si="12"/>
        <v>0.91344999999999998</v>
      </c>
      <c r="AG34" s="1391">
        <f t="shared" si="13"/>
        <v>0.14270000000000005</v>
      </c>
      <c r="AH34" s="781">
        <v>1</v>
      </c>
    </row>
    <row r="35" spans="1:34" ht="0.75" customHeight="1" x14ac:dyDescent="0.2">
      <c r="B35" s="2457"/>
      <c r="C35" s="1377" t="s">
        <v>49</v>
      </c>
      <c r="D35" s="1525">
        <v>1</v>
      </c>
      <c r="E35" s="1525">
        <v>1</v>
      </c>
      <c r="F35" s="1525">
        <v>1</v>
      </c>
      <c r="G35" s="1072">
        <v>1</v>
      </c>
      <c r="H35" s="1087">
        <v>4.5999999999999996</v>
      </c>
      <c r="I35" s="1087">
        <v>4.83</v>
      </c>
      <c r="J35" s="1088">
        <v>4.91</v>
      </c>
      <c r="K35" s="1088">
        <v>4.92</v>
      </c>
      <c r="L35" s="1088">
        <v>4.93</v>
      </c>
      <c r="M35" s="1088">
        <v>4.9000000000000004</v>
      </c>
      <c r="N35" s="1088">
        <v>4.9000000000000004</v>
      </c>
      <c r="O35" s="1088">
        <v>4.8</v>
      </c>
      <c r="P35" s="1088"/>
      <c r="Q35" s="1088"/>
      <c r="R35" s="1088"/>
      <c r="S35" s="1089"/>
      <c r="T35" s="1089"/>
      <c r="U35" s="1089"/>
      <c r="V35" s="1090"/>
      <c r="W35" s="1090"/>
      <c r="X35" s="1091"/>
      <c r="Y35" s="1091"/>
      <c r="Z35" s="1092"/>
      <c r="AA35" s="1092"/>
      <c r="AB35" s="988"/>
      <c r="AC35" s="988"/>
      <c r="AD35" s="988"/>
      <c r="AE35" s="988"/>
      <c r="AF35" s="1390" t="e">
        <f t="shared" si="12"/>
        <v>#DIV/0!</v>
      </c>
      <c r="AG35" s="1391">
        <f t="shared" si="13"/>
        <v>0</v>
      </c>
    </row>
    <row r="36" spans="1:34" ht="39" customHeight="1" x14ac:dyDescent="0.2">
      <c r="B36" s="2457"/>
      <c r="C36" s="1377" t="s">
        <v>47</v>
      </c>
      <c r="D36" s="1524">
        <v>0.90910000000000002</v>
      </c>
      <c r="E36" s="1524">
        <v>0.82669999999999999</v>
      </c>
      <c r="F36" s="1524">
        <v>0.87780000000000002</v>
      </c>
      <c r="G36" s="1524">
        <v>0.86439999999999995</v>
      </c>
      <c r="H36" s="1524">
        <v>0.81899999999999995</v>
      </c>
      <c r="I36" s="1524">
        <v>0.89800000000000002</v>
      </c>
      <c r="J36" s="1524">
        <v>0.80679999999999996</v>
      </c>
      <c r="K36" s="1524">
        <v>0.89890000000000003</v>
      </c>
      <c r="L36" s="1524">
        <v>0.74</v>
      </c>
      <c r="M36" s="1524">
        <v>0.83</v>
      </c>
      <c r="N36" s="1072">
        <v>0.96</v>
      </c>
      <c r="O36" s="1072">
        <v>0.85</v>
      </c>
      <c r="P36" s="1072">
        <v>0.8</v>
      </c>
      <c r="Q36" s="1072">
        <v>0.83</v>
      </c>
      <c r="R36" s="1072">
        <v>0.77</v>
      </c>
      <c r="S36" s="1072">
        <v>0.75</v>
      </c>
      <c r="T36" s="1072">
        <v>0.93</v>
      </c>
      <c r="U36" s="1529" t="s">
        <v>106</v>
      </c>
      <c r="V36" s="2372">
        <v>0.73</v>
      </c>
      <c r="W36" s="2372"/>
      <c r="X36" s="2369">
        <v>0.85709999999999997</v>
      </c>
      <c r="Y36" s="2369"/>
      <c r="Z36" s="2369">
        <v>0.84619999999999995</v>
      </c>
      <c r="AA36" s="2369"/>
      <c r="AB36" s="2370">
        <v>0.92500000000000004</v>
      </c>
      <c r="AC36" s="2370"/>
      <c r="AD36" s="2317">
        <v>1</v>
      </c>
      <c r="AE36" s="2317"/>
      <c r="AF36" s="1390">
        <f t="shared" si="12"/>
        <v>0.96250000000000002</v>
      </c>
      <c r="AG36" s="1391">
        <f t="shared" si="13"/>
        <v>7.4999999999999956E-2</v>
      </c>
      <c r="AH36" s="781">
        <v>1</v>
      </c>
    </row>
    <row r="37" spans="1:34" ht="39" customHeight="1" x14ac:dyDescent="0.2">
      <c r="B37" s="2457"/>
      <c r="C37" s="1377" t="s">
        <v>128</v>
      </c>
      <c r="D37" s="2373">
        <v>0.9</v>
      </c>
      <c r="E37" s="2373"/>
      <c r="F37" s="1524">
        <v>0.91</v>
      </c>
      <c r="G37" s="1524">
        <v>0.91</v>
      </c>
      <c r="H37" s="2374">
        <v>0.9</v>
      </c>
      <c r="I37" s="2374"/>
      <c r="J37" s="2374">
        <v>0.94</v>
      </c>
      <c r="K37" s="2374"/>
      <c r="L37" s="2374">
        <v>0.99</v>
      </c>
      <c r="M37" s="2374"/>
      <c r="N37" s="2374">
        <v>0.96</v>
      </c>
      <c r="O37" s="2374"/>
      <c r="P37" s="2375">
        <v>0.94</v>
      </c>
      <c r="Q37" s="2375"/>
      <c r="R37" s="2375">
        <v>0.9</v>
      </c>
      <c r="S37" s="2375"/>
      <c r="T37" s="2375">
        <v>0.88</v>
      </c>
      <c r="U37" s="2375"/>
      <c r="V37" s="2368">
        <v>0.88</v>
      </c>
      <c r="W37" s="2368"/>
      <c r="X37" s="2365">
        <v>0.89290000000000003</v>
      </c>
      <c r="Y37" s="2365"/>
      <c r="Z37" s="2365">
        <v>0.94120000000000004</v>
      </c>
      <c r="AA37" s="2365"/>
      <c r="AB37" s="2370">
        <v>0.96299999999999997</v>
      </c>
      <c r="AC37" s="2370"/>
      <c r="AD37" s="2317">
        <v>0.94120000000000004</v>
      </c>
      <c r="AE37" s="2317"/>
      <c r="AF37" s="1390">
        <f t="shared" si="12"/>
        <v>0.95209999999999995</v>
      </c>
      <c r="AG37" s="1391">
        <f t="shared" si="13"/>
        <v>-2.1799999999999931E-2</v>
      </c>
      <c r="AH37" s="781">
        <v>1</v>
      </c>
    </row>
    <row r="38" spans="1:34" ht="39" customHeight="1" x14ac:dyDescent="0.2">
      <c r="B38" s="2457"/>
      <c r="C38" s="668" t="s">
        <v>1315</v>
      </c>
      <c r="D38" s="1522"/>
      <c r="E38" s="1522"/>
      <c r="F38" s="1524"/>
      <c r="G38" s="1524"/>
      <c r="H38" s="1524"/>
      <c r="I38" s="1524"/>
      <c r="J38" s="1524"/>
      <c r="K38" s="1524"/>
      <c r="L38" s="1524"/>
      <c r="M38" s="1524"/>
      <c r="N38" s="1524"/>
      <c r="O38" s="1524"/>
      <c r="P38" s="1525"/>
      <c r="Q38" s="1525"/>
      <c r="R38" s="1525"/>
      <c r="S38" s="1525"/>
      <c r="T38" s="1525"/>
      <c r="U38" s="1525"/>
      <c r="V38" s="1526"/>
      <c r="W38" s="1526"/>
      <c r="X38" s="1527"/>
      <c r="Y38" s="1527"/>
      <c r="Z38" s="1527"/>
      <c r="AA38" s="1527"/>
      <c r="AB38" s="2370" t="s">
        <v>106</v>
      </c>
      <c r="AC38" s="2370"/>
      <c r="AD38" s="2317">
        <v>2.8628999999999998</v>
      </c>
      <c r="AE38" s="2317"/>
      <c r="AF38" s="1390">
        <f t="shared" ref="AF38:AF40" si="14">AVERAGE(AB38:AE38)</f>
        <v>2.8628999999999998</v>
      </c>
      <c r="AG38" s="1548">
        <f>AD38</f>
        <v>2.8628999999999998</v>
      </c>
      <c r="AH38" s="1237">
        <v>1</v>
      </c>
    </row>
    <row r="39" spans="1:34" ht="39" customHeight="1" x14ac:dyDescent="0.2">
      <c r="B39" s="2457"/>
      <c r="C39" s="668" t="s">
        <v>1317</v>
      </c>
      <c r="D39" s="1522"/>
      <c r="E39" s="1522"/>
      <c r="F39" s="1524"/>
      <c r="G39" s="1524"/>
      <c r="H39" s="1524"/>
      <c r="I39" s="1524"/>
      <c r="J39" s="1524"/>
      <c r="K39" s="1524"/>
      <c r="L39" s="1524"/>
      <c r="M39" s="1524"/>
      <c r="N39" s="1524"/>
      <c r="O39" s="1524"/>
      <c r="P39" s="1525"/>
      <c r="Q39" s="1525"/>
      <c r="R39" s="1525"/>
      <c r="S39" s="1525"/>
      <c r="T39" s="1525"/>
      <c r="U39" s="1525"/>
      <c r="V39" s="1526"/>
      <c r="W39" s="1526"/>
      <c r="X39" s="1527"/>
      <c r="Y39" s="1527"/>
      <c r="Z39" s="1527"/>
      <c r="AA39" s="1527"/>
      <c r="AB39" s="2370" t="s">
        <v>106</v>
      </c>
      <c r="AC39" s="2370"/>
      <c r="AD39" s="2317">
        <v>0.9</v>
      </c>
      <c r="AE39" s="2317"/>
      <c r="AF39" s="1390">
        <f t="shared" si="14"/>
        <v>0.9</v>
      </c>
      <c r="AG39" s="1548">
        <f>AD39</f>
        <v>0.9</v>
      </c>
      <c r="AH39" s="1237">
        <v>1</v>
      </c>
    </row>
    <row r="40" spans="1:34" ht="39" customHeight="1" thickBot="1" x14ac:dyDescent="0.25">
      <c r="B40" s="2458"/>
      <c r="C40" s="1547" t="s">
        <v>1319</v>
      </c>
      <c r="D40" s="1178"/>
      <c r="E40" s="1178"/>
      <c r="F40" s="1545"/>
      <c r="G40" s="1545"/>
      <c r="H40" s="1545"/>
      <c r="I40" s="1545"/>
      <c r="J40" s="1545"/>
      <c r="K40" s="1545"/>
      <c r="L40" s="1545"/>
      <c r="M40" s="1545"/>
      <c r="N40" s="1545"/>
      <c r="O40" s="1545"/>
      <c r="P40" s="1546"/>
      <c r="Q40" s="1546"/>
      <c r="R40" s="1546"/>
      <c r="S40" s="1546"/>
      <c r="T40" s="1546"/>
      <c r="U40" s="1546"/>
      <c r="V40" s="1155"/>
      <c r="W40" s="1155"/>
      <c r="X40" s="1156"/>
      <c r="Y40" s="1156"/>
      <c r="Z40" s="1156"/>
      <c r="AA40" s="1156"/>
      <c r="AB40" s="2459" t="s">
        <v>106</v>
      </c>
      <c r="AC40" s="2459"/>
      <c r="AD40" s="2445">
        <v>0.94120000000000004</v>
      </c>
      <c r="AE40" s="2445"/>
      <c r="AF40" s="1418">
        <f t="shared" si="14"/>
        <v>0.94120000000000004</v>
      </c>
      <c r="AG40" s="1548">
        <f>AD40</f>
        <v>0.94120000000000004</v>
      </c>
      <c r="AH40" s="1237">
        <v>1</v>
      </c>
    </row>
    <row r="41" spans="1:34" ht="39" customHeight="1" thickBot="1" x14ac:dyDescent="0.25">
      <c r="B41" s="1060" t="s">
        <v>461</v>
      </c>
      <c r="C41" s="1410" t="s">
        <v>1178</v>
      </c>
      <c r="D41" s="1167"/>
      <c r="E41" s="1167"/>
      <c r="F41" s="1168"/>
      <c r="G41" s="1168"/>
      <c r="H41" s="1168"/>
      <c r="I41" s="1168"/>
      <c r="J41" s="1168"/>
      <c r="K41" s="1168"/>
      <c r="L41" s="1168"/>
      <c r="M41" s="1168"/>
      <c r="N41" s="1168"/>
      <c r="O41" s="1168"/>
      <c r="P41" s="1169"/>
      <c r="Q41" s="1169"/>
      <c r="R41" s="1169"/>
      <c r="S41" s="1169"/>
      <c r="T41" s="1169"/>
      <c r="U41" s="1169"/>
      <c r="V41" s="1170"/>
      <c r="W41" s="1170"/>
      <c r="X41" s="1171"/>
      <c r="Y41" s="1171"/>
      <c r="Z41" s="2376">
        <v>0.88690000000000002</v>
      </c>
      <c r="AA41" s="2377"/>
      <c r="AB41" s="2378">
        <v>0.89180000000000004</v>
      </c>
      <c r="AC41" s="2379"/>
      <c r="AD41" s="2318">
        <v>0.90669999999999995</v>
      </c>
      <c r="AE41" s="2319"/>
      <c r="AF41" s="1411">
        <f t="shared" si="12"/>
        <v>0.89924999999999999</v>
      </c>
      <c r="AG41" s="1412">
        <f t="shared" si="13"/>
        <v>1.4899999999999913E-2</v>
      </c>
      <c r="AH41" s="781">
        <v>1</v>
      </c>
    </row>
    <row r="42" spans="1:34" ht="35.25" customHeight="1" x14ac:dyDescent="0.2">
      <c r="B42" s="2393" t="s">
        <v>1179</v>
      </c>
      <c r="C42" s="1398" t="s">
        <v>54</v>
      </c>
      <c r="D42" s="1179">
        <v>0.83</v>
      </c>
      <c r="E42" s="1180">
        <v>1</v>
      </c>
      <c r="F42" s="1180">
        <v>1</v>
      </c>
      <c r="G42" s="1180">
        <v>0.67</v>
      </c>
      <c r="H42" s="1180">
        <v>0.67</v>
      </c>
      <c r="I42" s="1181">
        <v>2</v>
      </c>
      <c r="J42" s="2387">
        <v>15</v>
      </c>
      <c r="K42" s="2387"/>
      <c r="L42" s="2387">
        <v>15</v>
      </c>
      <c r="M42" s="2387"/>
      <c r="N42" s="2387">
        <v>2.17</v>
      </c>
      <c r="O42" s="2387"/>
      <c r="P42" s="2381">
        <v>-2.92</v>
      </c>
      <c r="Q42" s="2381"/>
      <c r="R42" s="2381">
        <v>0.33</v>
      </c>
      <c r="S42" s="2381"/>
      <c r="T42" s="2380">
        <v>0.25</v>
      </c>
      <c r="U42" s="2381"/>
      <c r="V42" s="2382">
        <v>8.3299999999999999E-2</v>
      </c>
      <c r="W42" s="2382"/>
      <c r="X42" s="2383">
        <v>8.3299999999999999E-2</v>
      </c>
      <c r="Y42" s="2383"/>
      <c r="Z42" s="2383">
        <v>1</v>
      </c>
      <c r="AA42" s="2383"/>
      <c r="AB42" s="2384">
        <v>1</v>
      </c>
      <c r="AC42" s="2384"/>
      <c r="AD42" s="2320">
        <v>1</v>
      </c>
      <c r="AE42" s="2320"/>
      <c r="AF42" s="1413">
        <f t="shared" si="12"/>
        <v>1</v>
      </c>
      <c r="AG42" s="1414">
        <f t="shared" si="13"/>
        <v>0</v>
      </c>
      <c r="AH42" s="781">
        <v>1</v>
      </c>
    </row>
    <row r="43" spans="1:34" ht="33" customHeight="1" x14ac:dyDescent="0.2">
      <c r="B43" s="2394"/>
      <c r="C43" s="1377" t="s">
        <v>129</v>
      </c>
      <c r="D43" s="2385">
        <v>-0.06</v>
      </c>
      <c r="E43" s="2385"/>
      <c r="F43" s="2385">
        <v>0.02</v>
      </c>
      <c r="G43" s="2385"/>
      <c r="H43" s="2345">
        <v>0.08</v>
      </c>
      <c r="I43" s="2345"/>
      <c r="J43" s="2386">
        <v>0.04</v>
      </c>
      <c r="K43" s="2386"/>
      <c r="L43" s="2386">
        <v>0.16</v>
      </c>
      <c r="M43" s="2386"/>
      <c r="N43" s="2388">
        <v>7.0000000000000007E-2</v>
      </c>
      <c r="O43" s="2388"/>
      <c r="P43" s="2389">
        <v>0.11</v>
      </c>
      <c r="Q43" s="2389"/>
      <c r="R43" s="2389">
        <v>0.09</v>
      </c>
      <c r="S43" s="2389"/>
      <c r="T43" s="2389">
        <v>7.0000000000000007E-2</v>
      </c>
      <c r="U43" s="2389"/>
      <c r="V43" s="2390">
        <v>4.1000000000000002E-2</v>
      </c>
      <c r="W43" s="2390"/>
      <c r="X43" s="2391">
        <v>3.0700000000000002E-2</v>
      </c>
      <c r="Y43" s="2391"/>
      <c r="Z43" s="2391">
        <v>-7.5800000000000006E-2</v>
      </c>
      <c r="AA43" s="2391"/>
      <c r="AB43" s="2392">
        <v>8.6999999999999994E-3</v>
      </c>
      <c r="AC43" s="2392"/>
      <c r="AD43" s="2307">
        <v>1.2E-2</v>
      </c>
      <c r="AE43" s="2307"/>
      <c r="AF43" s="1390">
        <f t="shared" si="12"/>
        <v>1.035E-2</v>
      </c>
      <c r="AG43" s="1391">
        <f t="shared" si="13"/>
        <v>3.3000000000000008E-3</v>
      </c>
      <c r="AH43" s="781">
        <v>1</v>
      </c>
    </row>
    <row r="44" spans="1:34" ht="33" customHeight="1" x14ac:dyDescent="0.2">
      <c r="B44" s="2394"/>
      <c r="C44" s="1377" t="s">
        <v>130</v>
      </c>
      <c r="D44" s="2385">
        <v>-0.04</v>
      </c>
      <c r="E44" s="2385"/>
      <c r="F44" s="2385">
        <v>2.9000000000000001E-2</v>
      </c>
      <c r="G44" s="2385"/>
      <c r="H44" s="2345">
        <v>2.9000000000000001E-2</v>
      </c>
      <c r="I44" s="2345"/>
      <c r="J44" s="2386">
        <v>2.1000000000000001E-2</v>
      </c>
      <c r="K44" s="2386"/>
      <c r="L44" s="2386">
        <v>4.4999999999999998E-2</v>
      </c>
      <c r="M44" s="2386"/>
      <c r="N44" s="2388">
        <v>0.05</v>
      </c>
      <c r="O44" s="2388"/>
      <c r="P44" s="2386">
        <v>8.4000000000000005E-2</v>
      </c>
      <c r="Q44" s="2386"/>
      <c r="R44" s="2386">
        <v>9.0999999999999998E-2</v>
      </c>
      <c r="S44" s="2386"/>
      <c r="T44" s="2386">
        <v>0.08</v>
      </c>
      <c r="U44" s="2386"/>
      <c r="V44" s="2390">
        <v>3.1E-2</v>
      </c>
      <c r="W44" s="2390"/>
      <c r="X44" s="2391">
        <v>2.3900000000000001E-2</v>
      </c>
      <c r="Y44" s="2391"/>
      <c r="Z44" s="2391">
        <v>-0.10249999999999999</v>
      </c>
      <c r="AA44" s="2391"/>
      <c r="AB44" s="2392">
        <v>-2.8299999999999999E-2</v>
      </c>
      <c r="AC44" s="2392"/>
      <c r="AD44" s="2307">
        <v>-1E-3</v>
      </c>
      <c r="AE44" s="2307"/>
      <c r="AF44" s="1390">
        <f t="shared" si="12"/>
        <v>-1.465E-2</v>
      </c>
      <c r="AG44" s="1391">
        <f t="shared" si="13"/>
        <v>2.7299999999999998E-2</v>
      </c>
      <c r="AH44" s="781">
        <v>1</v>
      </c>
    </row>
    <row r="45" spans="1:34" ht="33" customHeight="1" x14ac:dyDescent="0.2">
      <c r="A45" s="48" t="s">
        <v>570</v>
      </c>
      <c r="B45" s="2394"/>
      <c r="C45" s="1415" t="s">
        <v>131</v>
      </c>
      <c r="D45" s="2385">
        <v>-0.28999999999999998</v>
      </c>
      <c r="E45" s="2385"/>
      <c r="F45" s="2385">
        <v>0.13</v>
      </c>
      <c r="G45" s="2385"/>
      <c r="H45" s="2345">
        <v>2.5999999999999999E-2</v>
      </c>
      <c r="I45" s="2345"/>
      <c r="J45" s="2386">
        <v>0.85</v>
      </c>
      <c r="K45" s="2386"/>
      <c r="L45" s="2386">
        <v>0.56999999999999995</v>
      </c>
      <c r="M45" s="2386"/>
      <c r="N45" s="2388">
        <v>0.34</v>
      </c>
      <c r="O45" s="2388"/>
      <c r="P45" s="2389">
        <v>0.18</v>
      </c>
      <c r="Q45" s="2389"/>
      <c r="R45" s="2389">
        <v>0.12</v>
      </c>
      <c r="S45" s="2389"/>
      <c r="T45" s="2389">
        <v>0.04</v>
      </c>
      <c r="U45" s="2389"/>
      <c r="V45" s="2390">
        <v>7.0999999999999994E-2</v>
      </c>
      <c r="W45" s="2390"/>
      <c r="X45" s="2391">
        <v>5.04E-2</v>
      </c>
      <c r="Y45" s="2391"/>
      <c r="Z45" s="2391">
        <v>9.4299999999999995E-2</v>
      </c>
      <c r="AA45" s="2391"/>
      <c r="AB45" s="2392">
        <v>0.3407</v>
      </c>
      <c r="AC45" s="2392"/>
      <c r="AD45" s="2307">
        <v>0.36070000000000002</v>
      </c>
      <c r="AE45" s="2307"/>
      <c r="AF45" s="1390">
        <f t="shared" si="12"/>
        <v>0.35070000000000001</v>
      </c>
      <c r="AG45" s="1391">
        <f t="shared" si="13"/>
        <v>2.0000000000000018E-2</v>
      </c>
      <c r="AH45" s="781">
        <v>1</v>
      </c>
    </row>
    <row r="46" spans="1:34" ht="54.75" customHeight="1" x14ac:dyDescent="0.2">
      <c r="B46" s="2394"/>
      <c r="C46" s="1415" t="s">
        <v>132</v>
      </c>
      <c r="D46" s="1321"/>
      <c r="E46" s="1311"/>
      <c r="F46" s="1311"/>
      <c r="G46" s="1311"/>
      <c r="H46" s="1311">
        <v>0.67</v>
      </c>
      <c r="I46" s="1311">
        <v>0.6</v>
      </c>
      <c r="J46" s="1328">
        <v>0.32</v>
      </c>
      <c r="K46" s="1325">
        <v>0.28000000000000003</v>
      </c>
      <c r="L46" s="1328">
        <v>0.81</v>
      </c>
      <c r="M46" s="1328">
        <v>0.86</v>
      </c>
      <c r="N46" s="1328">
        <v>0.94</v>
      </c>
      <c r="O46" s="1328">
        <v>0.87</v>
      </c>
      <c r="P46" s="2400">
        <v>1.0149999999999999</v>
      </c>
      <c r="Q46" s="2400"/>
      <c r="R46" s="2389">
        <v>1.03</v>
      </c>
      <c r="S46" s="2389"/>
      <c r="T46" s="2401">
        <v>1.0149999999999999</v>
      </c>
      <c r="U46" s="2401"/>
      <c r="V46" s="2402">
        <v>0.92</v>
      </c>
      <c r="W46" s="2402"/>
      <c r="X46" s="2391">
        <v>0.85560000000000003</v>
      </c>
      <c r="Y46" s="2391"/>
      <c r="Z46" s="2391">
        <v>0.92300000000000004</v>
      </c>
      <c r="AA46" s="2391"/>
      <c r="AB46" s="2392">
        <v>0.92459999999999998</v>
      </c>
      <c r="AC46" s="2392"/>
      <c r="AD46" s="2307">
        <v>0.92759999999999998</v>
      </c>
      <c r="AE46" s="2307"/>
      <c r="AF46" s="1390">
        <f t="shared" si="12"/>
        <v>0.92609999999999992</v>
      </c>
      <c r="AG46" s="1391">
        <f t="shared" si="13"/>
        <v>3.0000000000000027E-3</v>
      </c>
      <c r="AH46" s="781">
        <v>1</v>
      </c>
    </row>
    <row r="47" spans="1:34" ht="60.75" customHeight="1" thickBot="1" x14ac:dyDescent="0.25">
      <c r="B47" s="2394"/>
      <c r="C47" s="1415" t="s">
        <v>133</v>
      </c>
      <c r="D47" s="1321"/>
      <c r="E47" s="1311"/>
      <c r="F47" s="1311"/>
      <c r="G47" s="1311"/>
      <c r="H47" s="1311">
        <v>1</v>
      </c>
      <c r="I47" s="1311">
        <v>0.89</v>
      </c>
      <c r="J47" s="1305">
        <v>1</v>
      </c>
      <c r="K47" s="1305">
        <v>1</v>
      </c>
      <c r="L47" s="1305">
        <v>1</v>
      </c>
      <c r="M47" s="1305">
        <v>1</v>
      </c>
      <c r="N47" s="1305">
        <v>1</v>
      </c>
      <c r="O47" s="1305">
        <v>1</v>
      </c>
      <c r="P47" s="1072">
        <v>1</v>
      </c>
      <c r="Q47" s="1072">
        <v>1</v>
      </c>
      <c r="R47" s="2389">
        <v>1.03</v>
      </c>
      <c r="S47" s="2389"/>
      <c r="T47" s="1072">
        <v>1</v>
      </c>
      <c r="U47" s="1072">
        <v>1</v>
      </c>
      <c r="V47" s="1093">
        <v>0.99670000000000003</v>
      </c>
      <c r="W47" s="1093">
        <v>0.99609999999999999</v>
      </c>
      <c r="X47" s="1303">
        <v>1</v>
      </c>
      <c r="Y47" s="1303">
        <v>1</v>
      </c>
      <c r="Z47" s="1303">
        <v>0.97130000000000005</v>
      </c>
      <c r="AA47" s="1303">
        <v>0.99339999999999995</v>
      </c>
      <c r="AB47" s="1304">
        <v>0.9667</v>
      </c>
      <c r="AC47" s="1304">
        <v>0.98399999999999999</v>
      </c>
      <c r="AD47" s="1416">
        <v>0.94269999999999998</v>
      </c>
      <c r="AE47" s="1416">
        <v>0.99050000000000005</v>
      </c>
      <c r="AF47" s="549">
        <f t="shared" ref="AF47:AF49" si="15">AVERAGE(AD47:AE47)</f>
        <v>0.96660000000000001</v>
      </c>
      <c r="AG47" s="1151">
        <f t="shared" ref="AG47:AG49" si="16">AE47-AD47</f>
        <v>4.7800000000000065E-2</v>
      </c>
      <c r="AH47" s="781">
        <v>1</v>
      </c>
    </row>
    <row r="48" spans="1:34" ht="18.75" hidden="1" customHeight="1" thickBot="1" x14ac:dyDescent="0.25">
      <c r="B48" s="2395"/>
      <c r="C48" s="1379" t="s">
        <v>518</v>
      </c>
      <c r="D48" s="1065"/>
      <c r="E48" s="1066"/>
      <c r="F48" s="1066"/>
      <c r="G48" s="1066"/>
      <c r="H48" s="1066">
        <v>1</v>
      </c>
      <c r="I48" s="1066">
        <v>0.89</v>
      </c>
      <c r="J48" s="1310">
        <v>1</v>
      </c>
      <c r="K48" s="1310">
        <v>1</v>
      </c>
      <c r="L48" s="1310">
        <v>1</v>
      </c>
      <c r="M48" s="1310">
        <v>1</v>
      </c>
      <c r="N48" s="1182">
        <v>0.99</v>
      </c>
      <c r="O48" s="1182">
        <v>0.98</v>
      </c>
      <c r="P48" s="1182">
        <v>0.98</v>
      </c>
      <c r="Q48" s="1182">
        <v>0.98</v>
      </c>
      <c r="R48" s="1183">
        <v>0.98</v>
      </c>
      <c r="S48" s="1183">
        <v>0.98</v>
      </c>
      <c r="T48" s="1183">
        <v>0.98</v>
      </c>
      <c r="U48" s="1183">
        <v>0.98</v>
      </c>
      <c r="V48" s="1184"/>
      <c r="W48" s="1184"/>
      <c r="X48" s="1185"/>
      <c r="Y48" s="1185"/>
      <c r="Z48" s="1185"/>
      <c r="AA48" s="1185"/>
      <c r="AB48" s="1186"/>
      <c r="AC48" s="1186"/>
      <c r="AD48" s="1186"/>
      <c r="AE48" s="1186"/>
      <c r="AF48" s="1158"/>
      <c r="AG48" s="1159"/>
    </row>
    <row r="49" spans="2:35" ht="37.5" customHeight="1" x14ac:dyDescent="0.2">
      <c r="B49" s="2393" t="s">
        <v>1301</v>
      </c>
      <c r="C49" s="1398" t="s">
        <v>135</v>
      </c>
      <c r="D49" s="1179">
        <v>0.36</v>
      </c>
      <c r="E49" s="1180">
        <v>0.94</v>
      </c>
      <c r="F49" s="1180">
        <v>0.98</v>
      </c>
      <c r="G49" s="1315">
        <v>0.98</v>
      </c>
      <c r="H49" s="1315">
        <v>0.99</v>
      </c>
      <c r="I49" s="1315">
        <v>0.8</v>
      </c>
      <c r="J49" s="1315">
        <v>1</v>
      </c>
      <c r="K49" s="1315">
        <v>0.99</v>
      </c>
      <c r="L49" s="1315">
        <v>1</v>
      </c>
      <c r="M49" s="1315">
        <v>0.99</v>
      </c>
      <c r="N49" s="1315">
        <v>0.97499999999999998</v>
      </c>
      <c r="O49" s="1315">
        <v>1</v>
      </c>
      <c r="P49" s="1315">
        <v>0.93300000000000005</v>
      </c>
      <c r="Q49" s="1315">
        <v>0.98499999999999999</v>
      </c>
      <c r="R49" s="1315">
        <v>0.99</v>
      </c>
      <c r="S49" s="1315">
        <v>1</v>
      </c>
      <c r="T49" s="1315">
        <v>1</v>
      </c>
      <c r="U49" s="1315">
        <v>1</v>
      </c>
      <c r="V49" s="1316">
        <v>0.997</v>
      </c>
      <c r="W49" s="1316">
        <v>0.99099999999999999</v>
      </c>
      <c r="X49" s="1312">
        <v>0.99750000000000005</v>
      </c>
      <c r="Y49" s="1312">
        <v>0.99109999999999998</v>
      </c>
      <c r="Z49" s="1189">
        <v>1</v>
      </c>
      <c r="AA49" s="1189">
        <v>1</v>
      </c>
      <c r="AB49" s="1313">
        <v>1</v>
      </c>
      <c r="AC49" s="1313">
        <v>1</v>
      </c>
      <c r="AD49" s="1417">
        <v>1</v>
      </c>
      <c r="AE49" s="1417">
        <v>1</v>
      </c>
      <c r="AF49" s="1131">
        <f t="shared" si="15"/>
        <v>1</v>
      </c>
      <c r="AG49" s="1150">
        <f t="shared" si="16"/>
        <v>0</v>
      </c>
      <c r="AH49" s="781">
        <v>1</v>
      </c>
    </row>
    <row r="50" spans="2:35" ht="32.25" customHeight="1" x14ac:dyDescent="0.2">
      <c r="B50" s="2394"/>
      <c r="C50" s="1377" t="s">
        <v>66</v>
      </c>
      <c r="D50" s="1329">
        <v>0.81</v>
      </c>
      <c r="E50" s="1344">
        <v>0.94</v>
      </c>
      <c r="F50" s="1344">
        <v>0.88</v>
      </c>
      <c r="G50" s="1305">
        <v>0.84</v>
      </c>
      <c r="H50" s="1305">
        <v>0.8</v>
      </c>
      <c r="I50" s="1305">
        <v>0.82</v>
      </c>
      <c r="J50" s="1305">
        <v>0.84</v>
      </c>
      <c r="K50" s="1305">
        <v>0.98</v>
      </c>
      <c r="L50" s="1305">
        <v>0.84</v>
      </c>
      <c r="M50" s="1305">
        <v>0.94</v>
      </c>
      <c r="N50" s="1305">
        <v>0.97</v>
      </c>
      <c r="O50" s="1305">
        <v>0.9</v>
      </c>
      <c r="P50" s="1305">
        <v>0.81</v>
      </c>
      <c r="Q50" s="1305">
        <v>0.95</v>
      </c>
      <c r="R50" s="1305">
        <v>0.82</v>
      </c>
      <c r="S50" s="1305">
        <v>0.83</v>
      </c>
      <c r="T50" s="2396">
        <v>0.94</v>
      </c>
      <c r="U50" s="2396"/>
      <c r="V50" s="2397">
        <v>0.90300000000000002</v>
      </c>
      <c r="W50" s="2397"/>
      <c r="X50" s="2398">
        <v>0.95450000000000002</v>
      </c>
      <c r="Y50" s="2398"/>
      <c r="Z50" s="2398">
        <v>0.79310000000000003</v>
      </c>
      <c r="AA50" s="2398"/>
      <c r="AB50" s="2399">
        <v>0.82350000000000001</v>
      </c>
      <c r="AC50" s="2399"/>
      <c r="AD50" s="2314">
        <v>0.82350000000000001</v>
      </c>
      <c r="AE50" s="2314"/>
      <c r="AF50" s="1390">
        <f t="shared" ref="AF50:AF54" si="17">AVERAGE(AB50:AE50)</f>
        <v>0.82350000000000001</v>
      </c>
      <c r="AG50" s="1391">
        <f t="shared" ref="AG50:AG54" si="18">AD50-AB50</f>
        <v>0</v>
      </c>
      <c r="AH50" s="781">
        <v>1</v>
      </c>
    </row>
    <row r="51" spans="2:35" ht="18.75" hidden="1" customHeight="1" x14ac:dyDescent="0.2">
      <c r="B51" s="2394"/>
      <c r="C51" s="1378" t="s">
        <v>737</v>
      </c>
      <c r="D51" s="1329"/>
      <c r="E51" s="1344"/>
      <c r="F51" s="1344"/>
      <c r="G51" s="1305"/>
      <c r="H51" s="1305"/>
      <c r="I51" s="1305"/>
      <c r="J51" s="1305"/>
      <c r="K51" s="1305"/>
      <c r="L51" s="1305"/>
      <c r="M51" s="1305"/>
      <c r="N51" s="1305"/>
      <c r="O51" s="1305"/>
      <c r="P51" s="1305">
        <v>0.9</v>
      </c>
      <c r="Q51" s="1305">
        <v>0.9</v>
      </c>
      <c r="R51" s="1305">
        <v>0.97</v>
      </c>
      <c r="S51" s="1305">
        <v>0.92</v>
      </c>
      <c r="T51" s="1305">
        <v>0.99</v>
      </c>
      <c r="U51" s="1305">
        <v>0.99</v>
      </c>
      <c r="V51" s="1309"/>
      <c r="W51" s="1309"/>
      <c r="X51" s="1303"/>
      <c r="Y51" s="1303"/>
      <c r="Z51" s="1303"/>
      <c r="AA51" s="1303"/>
      <c r="AB51" s="1304"/>
      <c r="AC51" s="1304"/>
      <c r="AD51" s="1304"/>
      <c r="AE51" s="1304"/>
      <c r="AF51" s="1390"/>
      <c r="AG51" s="1391"/>
    </row>
    <row r="52" spans="2:35" ht="18" hidden="1" customHeight="1" thickBot="1" x14ac:dyDescent="0.25">
      <c r="B52" s="2395"/>
      <c r="C52" s="1379" t="s">
        <v>548</v>
      </c>
      <c r="D52" s="1190">
        <v>0.85</v>
      </c>
      <c r="E52" s="1191">
        <v>0.85</v>
      </c>
      <c r="F52" s="1191">
        <v>0.86</v>
      </c>
      <c r="G52" s="1310">
        <v>0.82</v>
      </c>
      <c r="H52" s="1310">
        <v>0.94</v>
      </c>
      <c r="I52" s="1310">
        <v>0.87</v>
      </c>
      <c r="J52" s="1310">
        <v>0.88</v>
      </c>
      <c r="K52" s="1310">
        <v>0.9</v>
      </c>
      <c r="L52" s="1310">
        <v>0.91</v>
      </c>
      <c r="M52" s="1310">
        <v>0.9</v>
      </c>
      <c r="N52" s="1310">
        <v>0.94</v>
      </c>
      <c r="O52" s="1310">
        <v>0.85</v>
      </c>
      <c r="P52" s="1310">
        <v>0.94</v>
      </c>
      <c r="Q52" s="1310">
        <v>0.91</v>
      </c>
      <c r="R52" s="1310">
        <v>0.92</v>
      </c>
      <c r="S52" s="1310">
        <v>0.93</v>
      </c>
      <c r="T52" s="1310">
        <v>1</v>
      </c>
      <c r="U52" s="1310">
        <v>1</v>
      </c>
      <c r="V52" s="1069"/>
      <c r="W52" s="1069"/>
      <c r="X52" s="1192"/>
      <c r="Y52" s="1192"/>
      <c r="Z52" s="1192"/>
      <c r="AA52" s="1192"/>
      <c r="AB52" s="1193"/>
      <c r="AC52" s="1193"/>
      <c r="AD52" s="1193"/>
      <c r="AE52" s="1193"/>
      <c r="AF52" s="1418"/>
      <c r="AG52" s="1419"/>
    </row>
    <row r="53" spans="2:35" ht="24" customHeight="1" x14ac:dyDescent="0.2">
      <c r="B53" s="2405" t="s">
        <v>107</v>
      </c>
      <c r="C53" s="1381" t="s">
        <v>136</v>
      </c>
      <c r="D53" s="1187">
        <v>1</v>
      </c>
      <c r="E53" s="1188">
        <v>1</v>
      </c>
      <c r="F53" s="1188">
        <v>1</v>
      </c>
      <c r="G53" s="1320">
        <v>1</v>
      </c>
      <c r="H53" s="2407">
        <v>1</v>
      </c>
      <c r="I53" s="2407"/>
      <c r="J53" s="2407">
        <v>0.88</v>
      </c>
      <c r="K53" s="2407"/>
      <c r="L53" s="2407">
        <v>0.86</v>
      </c>
      <c r="M53" s="2407"/>
      <c r="N53" s="2407">
        <v>0.77</v>
      </c>
      <c r="O53" s="2407"/>
      <c r="P53" s="2407">
        <v>0.78</v>
      </c>
      <c r="Q53" s="2407"/>
      <c r="R53" s="2413">
        <v>0.74</v>
      </c>
      <c r="S53" s="2413"/>
      <c r="T53" s="2413">
        <v>0.95</v>
      </c>
      <c r="U53" s="2413"/>
      <c r="V53" s="2414">
        <v>0.93</v>
      </c>
      <c r="W53" s="2414"/>
      <c r="X53" s="2403">
        <v>0.96350000000000002</v>
      </c>
      <c r="Y53" s="2403"/>
      <c r="Z53" s="2403">
        <v>0.97370000000000001</v>
      </c>
      <c r="AA53" s="2403"/>
      <c r="AB53" s="2404">
        <v>0.98509999999999998</v>
      </c>
      <c r="AC53" s="2404"/>
      <c r="AD53" s="2306"/>
      <c r="AE53" s="2306"/>
      <c r="AF53" s="1420">
        <f t="shared" si="17"/>
        <v>0.98509999999999998</v>
      </c>
      <c r="AG53" s="1421">
        <f t="shared" si="18"/>
        <v>-0.98509999999999998</v>
      </c>
      <c r="AH53" s="781">
        <v>1</v>
      </c>
    </row>
    <row r="54" spans="2:35" ht="25.5" customHeight="1" x14ac:dyDescent="0.2">
      <c r="B54" s="2394"/>
      <c r="C54" s="1377" t="s">
        <v>137</v>
      </c>
      <c r="D54" s="1321">
        <v>0.85</v>
      </c>
      <c r="E54" s="1311">
        <v>1</v>
      </c>
      <c r="F54" s="1311">
        <v>0.81</v>
      </c>
      <c r="G54" s="1311">
        <v>0.95</v>
      </c>
      <c r="H54" s="2408">
        <v>0.87</v>
      </c>
      <c r="I54" s="2408"/>
      <c r="J54" s="2408">
        <v>0.9</v>
      </c>
      <c r="K54" s="2408"/>
      <c r="L54" s="2408">
        <v>0.8</v>
      </c>
      <c r="M54" s="2408"/>
      <c r="N54" s="2408">
        <v>1</v>
      </c>
      <c r="O54" s="2408"/>
      <c r="P54" s="2408">
        <v>1</v>
      </c>
      <c r="Q54" s="2408"/>
      <c r="R54" s="2411">
        <v>0.96</v>
      </c>
      <c r="S54" s="2411"/>
      <c r="T54" s="2411">
        <v>0.97</v>
      </c>
      <c r="U54" s="2411"/>
      <c r="V54" s="2412">
        <v>1</v>
      </c>
      <c r="W54" s="2412"/>
      <c r="X54" s="2391">
        <v>1</v>
      </c>
      <c r="Y54" s="2391"/>
      <c r="Z54" s="2391">
        <v>1</v>
      </c>
      <c r="AA54" s="2391"/>
      <c r="AB54" s="2399">
        <v>1</v>
      </c>
      <c r="AC54" s="2399"/>
      <c r="AD54" s="2307">
        <v>1</v>
      </c>
      <c r="AE54" s="2307"/>
      <c r="AF54" s="1390">
        <f t="shared" si="17"/>
        <v>1</v>
      </c>
      <c r="AG54" s="1422">
        <f t="shared" si="18"/>
        <v>0</v>
      </c>
      <c r="AH54" s="781">
        <v>1</v>
      </c>
      <c r="AI54" s="989"/>
    </row>
    <row r="55" spans="2:35" ht="33.75" customHeight="1" x14ac:dyDescent="0.2">
      <c r="B55" s="2394"/>
      <c r="C55" s="1377" t="s">
        <v>138</v>
      </c>
      <c r="D55" s="1329">
        <v>1</v>
      </c>
      <c r="E55" s="1344">
        <v>1</v>
      </c>
      <c r="F55" s="1344">
        <v>1</v>
      </c>
      <c r="G55" s="1305">
        <v>1</v>
      </c>
      <c r="H55" s="1305">
        <v>0.94</v>
      </c>
      <c r="I55" s="1305">
        <v>0.83</v>
      </c>
      <c r="J55" s="1305">
        <v>1</v>
      </c>
      <c r="K55" s="1305">
        <v>1</v>
      </c>
      <c r="L55" s="1305">
        <v>1</v>
      </c>
      <c r="M55" s="1305">
        <v>1</v>
      </c>
      <c r="N55" s="1305">
        <v>1</v>
      </c>
      <c r="O55" s="1305">
        <v>1</v>
      </c>
      <c r="P55" s="1305">
        <v>1</v>
      </c>
      <c r="Q55" s="1305">
        <v>1</v>
      </c>
      <c r="R55" s="1325">
        <v>1</v>
      </c>
      <c r="S55" s="1325">
        <v>1</v>
      </c>
      <c r="T55" s="1325">
        <v>1</v>
      </c>
      <c r="U55" s="1325">
        <v>1</v>
      </c>
      <c r="V55" s="1326">
        <v>1</v>
      </c>
      <c r="W55" s="1326">
        <v>1</v>
      </c>
      <c r="X55" s="1099">
        <v>1</v>
      </c>
      <c r="Y55" s="1099">
        <v>1</v>
      </c>
      <c r="Z55" s="1099">
        <v>1</v>
      </c>
      <c r="AA55" s="1099">
        <v>1</v>
      </c>
      <c r="AB55" s="1101">
        <v>1</v>
      </c>
      <c r="AC55" s="1101">
        <v>1</v>
      </c>
      <c r="AD55" s="1423">
        <v>0.9</v>
      </c>
      <c r="AE55" s="1423">
        <v>1</v>
      </c>
      <c r="AF55" s="549">
        <f t="shared" ref="AF55" si="19">AVERAGE(AD55:AE55)</f>
        <v>0.95</v>
      </c>
      <c r="AG55" s="984">
        <f t="shared" ref="AG55" si="20">AE55-AD55</f>
        <v>9.9999999999999978E-2</v>
      </c>
      <c r="AH55" s="781">
        <v>1</v>
      </c>
    </row>
    <row r="56" spans="2:35" ht="47.25" customHeight="1" x14ac:dyDescent="0.2">
      <c r="B56" s="2394"/>
      <c r="C56" s="1376" t="s">
        <v>998</v>
      </c>
      <c r="D56" s="1329"/>
      <c r="E56" s="1344"/>
      <c r="F56" s="1344"/>
      <c r="G56" s="1305"/>
      <c r="H56" s="1305"/>
      <c r="I56" s="1305"/>
      <c r="J56" s="1305"/>
      <c r="K56" s="1305"/>
      <c r="L56" s="1305"/>
      <c r="M56" s="1305"/>
      <c r="N56" s="1305"/>
      <c r="O56" s="1305"/>
      <c r="P56" s="1305"/>
      <c r="Q56" s="1305"/>
      <c r="R56" s="1325"/>
      <c r="S56" s="1325"/>
      <c r="T56" s="1325"/>
      <c r="U56" s="1325"/>
      <c r="V56" s="1326"/>
      <c r="W56" s="1326"/>
      <c r="X56" s="1099"/>
      <c r="Y56" s="1099"/>
      <c r="Z56" s="1099"/>
      <c r="AA56" s="1099"/>
      <c r="AB56" s="1101" t="s">
        <v>106</v>
      </c>
      <c r="AC56" s="1101" t="s">
        <v>106</v>
      </c>
      <c r="AD56" s="1423">
        <v>1</v>
      </c>
      <c r="AE56" s="1423">
        <v>1</v>
      </c>
      <c r="AF56" s="549">
        <f t="shared" ref="AF56" si="21">AVERAGE(AD56:AE56)</f>
        <v>1</v>
      </c>
      <c r="AG56" s="984">
        <f t="shared" ref="AG56:AG57" si="22">AE56-AD56</f>
        <v>0</v>
      </c>
      <c r="AH56" s="781">
        <v>1</v>
      </c>
    </row>
    <row r="57" spans="2:35" ht="48" customHeight="1" x14ac:dyDescent="0.2">
      <c r="B57" s="2394"/>
      <c r="C57" s="1376" t="s">
        <v>1000</v>
      </c>
      <c r="D57" s="1329"/>
      <c r="E57" s="1344"/>
      <c r="F57" s="1344"/>
      <c r="G57" s="1305"/>
      <c r="H57" s="1305"/>
      <c r="I57" s="1305"/>
      <c r="J57" s="1305"/>
      <c r="K57" s="1305"/>
      <c r="L57" s="1305"/>
      <c r="M57" s="1305"/>
      <c r="N57" s="1305"/>
      <c r="O57" s="1305"/>
      <c r="P57" s="1305"/>
      <c r="Q57" s="1305"/>
      <c r="R57" s="1325"/>
      <c r="S57" s="1325"/>
      <c r="T57" s="1325"/>
      <c r="U57" s="1325"/>
      <c r="V57" s="1326"/>
      <c r="W57" s="1326"/>
      <c r="X57" s="1099"/>
      <c r="Y57" s="1099"/>
      <c r="Z57" s="1099"/>
      <c r="AA57" s="1099"/>
      <c r="AB57" s="1101" t="s">
        <v>106</v>
      </c>
      <c r="AC57" s="1101" t="s">
        <v>106</v>
      </c>
      <c r="AD57" s="1423">
        <v>0.77780000000000005</v>
      </c>
      <c r="AE57" s="1423">
        <v>0.66769999999999996</v>
      </c>
      <c r="AF57" s="549">
        <f>AVERAGE(AD57:AE57)</f>
        <v>0.72275</v>
      </c>
      <c r="AG57" s="984">
        <f t="shared" si="22"/>
        <v>-0.11010000000000009</v>
      </c>
      <c r="AH57" s="781">
        <v>1</v>
      </c>
    </row>
    <row r="58" spans="2:35" ht="39.75" customHeight="1" x14ac:dyDescent="0.2">
      <c r="B58" s="2394"/>
      <c r="C58" s="1376" t="s">
        <v>1002</v>
      </c>
      <c r="D58" s="1329"/>
      <c r="E58" s="1344"/>
      <c r="F58" s="1344"/>
      <c r="G58" s="1305"/>
      <c r="H58" s="1305"/>
      <c r="I58" s="1305"/>
      <c r="J58" s="1305"/>
      <c r="K58" s="1305"/>
      <c r="L58" s="1305"/>
      <c r="M58" s="1305"/>
      <c r="N58" s="1305"/>
      <c r="O58" s="1305"/>
      <c r="P58" s="1305"/>
      <c r="Q58" s="1305"/>
      <c r="R58" s="1325"/>
      <c r="S58" s="1325"/>
      <c r="T58" s="1325"/>
      <c r="U58" s="1325"/>
      <c r="V58" s="1326"/>
      <c r="W58" s="1326"/>
      <c r="X58" s="1099"/>
      <c r="Y58" s="1099"/>
      <c r="Z58" s="1099"/>
      <c r="AA58" s="1099"/>
      <c r="AB58" s="1101" t="s">
        <v>106</v>
      </c>
      <c r="AC58" s="1101" t="s">
        <v>106</v>
      </c>
      <c r="AD58" s="1423">
        <v>0.78649999999999998</v>
      </c>
      <c r="AE58" s="1423">
        <v>0.80379999999999996</v>
      </c>
      <c r="AF58" s="549">
        <f>AVERAGE(AD58:AE58)</f>
        <v>0.79515000000000002</v>
      </c>
      <c r="AG58" s="984">
        <f t="shared" ref="AG58" si="23">AE58-AD58</f>
        <v>1.7299999999999982E-2</v>
      </c>
      <c r="AH58" s="781">
        <v>1</v>
      </c>
    </row>
    <row r="59" spans="2:35" ht="21.75" customHeight="1" x14ac:dyDescent="0.2">
      <c r="B59" s="2394"/>
      <c r="C59" s="1376" t="s">
        <v>822</v>
      </c>
      <c r="D59" s="1329"/>
      <c r="E59" s="1344"/>
      <c r="F59" s="1344"/>
      <c r="G59" s="1305"/>
      <c r="H59" s="1305"/>
      <c r="I59" s="1305"/>
      <c r="J59" s="1305"/>
      <c r="K59" s="1305"/>
      <c r="L59" s="1305"/>
      <c r="M59" s="1305"/>
      <c r="N59" s="1305"/>
      <c r="O59" s="1305"/>
      <c r="P59" s="1305"/>
      <c r="Q59" s="1305"/>
      <c r="R59" s="1325"/>
      <c r="S59" s="1325"/>
      <c r="T59" s="1325"/>
      <c r="U59" s="1325"/>
      <c r="V59" s="1326"/>
      <c r="W59" s="1326"/>
      <c r="X59" s="1099"/>
      <c r="Y59" s="1099"/>
      <c r="Z59" s="1099"/>
      <c r="AA59" s="1099"/>
      <c r="AB59" s="1101"/>
      <c r="AC59" s="1101"/>
      <c r="AD59" s="2315">
        <v>0</v>
      </c>
      <c r="AE59" s="2316"/>
      <c r="AF59" s="1420">
        <f t="shared" ref="AF59" si="24">AVERAGE(AB59:AE59)</f>
        <v>0</v>
      </c>
      <c r="AG59" s="1421">
        <f t="shared" ref="AG59" si="25">AD59-AB59</f>
        <v>0</v>
      </c>
      <c r="AH59" s="781">
        <v>1</v>
      </c>
    </row>
    <row r="60" spans="2:35" ht="15.75" hidden="1" customHeight="1" x14ac:dyDescent="0.2">
      <c r="B60" s="2394"/>
      <c r="C60" s="1222" t="s">
        <v>800</v>
      </c>
      <c r="D60" s="1329"/>
      <c r="E60" s="1344"/>
      <c r="F60" s="1344"/>
      <c r="G60" s="1305"/>
      <c r="H60" s="1305"/>
      <c r="I60" s="1305"/>
      <c r="J60" s="1305"/>
      <c r="K60" s="1305"/>
      <c r="L60" s="1305"/>
      <c r="M60" s="1305"/>
      <c r="N60" s="1305"/>
      <c r="O60" s="1305"/>
      <c r="P60" s="1305"/>
      <c r="Q60" s="1305"/>
      <c r="R60" s="1325"/>
      <c r="S60" s="1325"/>
      <c r="T60" s="1325"/>
      <c r="U60" s="1325"/>
      <c r="V60" s="1326"/>
      <c r="W60" s="1326"/>
      <c r="X60" s="1099"/>
      <c r="Y60" s="1099"/>
      <c r="Z60" s="1099"/>
      <c r="AA60" s="1099"/>
      <c r="AB60" s="1101"/>
      <c r="AC60" s="1101"/>
      <c r="AD60" s="1423">
        <v>6.0309999999999997</v>
      </c>
      <c r="AE60" s="1423">
        <v>1.0141</v>
      </c>
      <c r="AF60" s="549">
        <f>AVERAGE(AD60:AE60)</f>
        <v>3.5225499999999998</v>
      </c>
      <c r="AG60" s="984">
        <f t="shared" ref="AG60:AG62" si="26">AE60-AD60</f>
        <v>-5.0168999999999997</v>
      </c>
    </row>
    <row r="61" spans="2:35" ht="14.25" customHeight="1" x14ac:dyDescent="0.2">
      <c r="B61" s="2394"/>
      <c r="C61" s="1376" t="s">
        <v>802</v>
      </c>
      <c r="D61" s="1329"/>
      <c r="E61" s="1344"/>
      <c r="F61" s="1344"/>
      <c r="G61" s="1305"/>
      <c r="H61" s="1305"/>
      <c r="I61" s="1305"/>
      <c r="J61" s="1305"/>
      <c r="K61" s="1305"/>
      <c r="L61" s="1305"/>
      <c r="M61" s="1305"/>
      <c r="N61" s="1305"/>
      <c r="O61" s="1305"/>
      <c r="P61" s="1305"/>
      <c r="Q61" s="1305"/>
      <c r="R61" s="1325"/>
      <c r="S61" s="1325"/>
      <c r="T61" s="1325"/>
      <c r="U61" s="1325"/>
      <c r="V61" s="1326"/>
      <c r="W61" s="1326"/>
      <c r="X61" s="1099"/>
      <c r="Y61" s="1099"/>
      <c r="Z61" s="1099"/>
      <c r="AA61" s="1099"/>
      <c r="AB61" s="1101"/>
      <c r="AC61" s="1101"/>
      <c r="AD61" s="1423">
        <v>6.9999999999999999E-4</v>
      </c>
      <c r="AE61" s="1423">
        <v>1.0000000000000001E-5</v>
      </c>
      <c r="AF61" s="549">
        <f>AVERAGE(AD61:AE61)</f>
        <v>3.5500000000000001E-4</v>
      </c>
      <c r="AG61" s="984">
        <f t="shared" si="26"/>
        <v>-6.8999999999999997E-4</v>
      </c>
      <c r="AH61" s="781">
        <v>1</v>
      </c>
    </row>
    <row r="62" spans="2:35" ht="19.5" customHeight="1" x14ac:dyDescent="0.2">
      <c r="B62" s="2394"/>
      <c r="C62" s="1376" t="s">
        <v>803</v>
      </c>
      <c r="D62" s="1329"/>
      <c r="E62" s="1344"/>
      <c r="F62" s="1344"/>
      <c r="G62" s="1305"/>
      <c r="H62" s="1305"/>
      <c r="I62" s="1305"/>
      <c r="J62" s="1305"/>
      <c r="K62" s="1305"/>
      <c r="L62" s="1305"/>
      <c r="M62" s="1305"/>
      <c r="N62" s="1305"/>
      <c r="O62" s="1305"/>
      <c r="P62" s="1305"/>
      <c r="Q62" s="1305"/>
      <c r="R62" s="1325"/>
      <c r="S62" s="1325"/>
      <c r="T62" s="1325"/>
      <c r="U62" s="1325"/>
      <c r="V62" s="1326"/>
      <c r="W62" s="1326"/>
      <c r="X62" s="1099"/>
      <c r="Y62" s="1099"/>
      <c r="Z62" s="1099"/>
      <c r="AA62" s="1099"/>
      <c r="AB62" s="1101"/>
      <c r="AC62" s="1101"/>
      <c r="AD62" s="1423">
        <v>3.2300000000000002E-2</v>
      </c>
      <c r="AE62" s="1423">
        <v>2.0000000000000001E-4</v>
      </c>
      <c r="AF62" s="549">
        <f>AVERAGE(AD62:AE62)</f>
        <v>1.6250000000000001E-2</v>
      </c>
      <c r="AG62" s="984">
        <f t="shared" si="26"/>
        <v>-3.2100000000000004E-2</v>
      </c>
      <c r="AH62" s="781">
        <v>1</v>
      </c>
    </row>
    <row r="63" spans="2:35" ht="35.25" customHeight="1" x14ac:dyDescent="0.2">
      <c r="B63" s="2394"/>
      <c r="C63" s="1376" t="s">
        <v>804</v>
      </c>
      <c r="D63" s="1329"/>
      <c r="E63" s="1344"/>
      <c r="F63" s="1344"/>
      <c r="G63" s="1305"/>
      <c r="H63" s="1305"/>
      <c r="I63" s="1305"/>
      <c r="J63" s="1305"/>
      <c r="K63" s="1305"/>
      <c r="L63" s="1305"/>
      <c r="M63" s="1305"/>
      <c r="N63" s="1305"/>
      <c r="O63" s="1305"/>
      <c r="P63" s="1305"/>
      <c r="Q63" s="1305"/>
      <c r="R63" s="1325"/>
      <c r="S63" s="1325"/>
      <c r="T63" s="1325"/>
      <c r="U63" s="1325"/>
      <c r="V63" s="1326"/>
      <c r="W63" s="1326"/>
      <c r="X63" s="1099"/>
      <c r="Y63" s="1099"/>
      <c r="Z63" s="1099"/>
      <c r="AA63" s="1099"/>
      <c r="AB63" s="1101"/>
      <c r="AC63" s="1101"/>
      <c r="AD63" s="1423">
        <v>0</v>
      </c>
      <c r="AE63" s="1423">
        <v>0</v>
      </c>
      <c r="AF63" s="549">
        <f>AVERAGE(AD63:AE63)</f>
        <v>0</v>
      </c>
      <c r="AG63" s="984">
        <f t="shared" ref="AG63" si="27">AE63-AD63</f>
        <v>0</v>
      </c>
      <c r="AH63" s="781">
        <v>1</v>
      </c>
    </row>
    <row r="64" spans="2:35" ht="26.25" customHeight="1" thickBot="1" x14ac:dyDescent="0.25">
      <c r="B64" s="2394"/>
      <c r="C64" s="1376" t="s">
        <v>805</v>
      </c>
      <c r="D64" s="1329"/>
      <c r="E64" s="1344"/>
      <c r="F64" s="1344"/>
      <c r="G64" s="1305"/>
      <c r="H64" s="1305"/>
      <c r="I64" s="1305"/>
      <c r="J64" s="1305"/>
      <c r="K64" s="1305"/>
      <c r="L64" s="1305"/>
      <c r="M64" s="1305"/>
      <c r="N64" s="1305"/>
      <c r="O64" s="1305"/>
      <c r="P64" s="1305"/>
      <c r="Q64" s="1305"/>
      <c r="R64" s="1325"/>
      <c r="S64" s="1325"/>
      <c r="T64" s="1325"/>
      <c r="U64" s="1325"/>
      <c r="V64" s="1326"/>
      <c r="W64" s="1326"/>
      <c r="X64" s="1099"/>
      <c r="Y64" s="1099"/>
      <c r="Z64" s="1099"/>
      <c r="AA64" s="1099"/>
      <c r="AB64" s="1101"/>
      <c r="AC64" s="1101"/>
      <c r="AD64" s="2315">
        <v>0</v>
      </c>
      <c r="AE64" s="2316"/>
      <c r="AF64" s="1420">
        <f t="shared" ref="AF64" si="28">AVERAGE(AB64:AE64)</f>
        <v>0</v>
      </c>
      <c r="AG64" s="1421">
        <f t="shared" ref="AG64" si="29">AD64-AB64</f>
        <v>0</v>
      </c>
      <c r="AH64" s="781">
        <v>1</v>
      </c>
    </row>
    <row r="65" spans="1:34" ht="15.75" hidden="1" customHeight="1" x14ac:dyDescent="0.2">
      <c r="B65" s="2394"/>
      <c r="C65" s="1222" t="s">
        <v>139</v>
      </c>
      <c r="D65" s="2385">
        <v>0.92</v>
      </c>
      <c r="E65" s="2385"/>
      <c r="F65" s="2373">
        <v>0.72</v>
      </c>
      <c r="G65" s="2373"/>
      <c r="H65" s="1305">
        <v>1</v>
      </c>
      <c r="I65" s="1305">
        <v>1</v>
      </c>
      <c r="J65" s="1305">
        <v>1</v>
      </c>
      <c r="K65" s="1305">
        <v>1</v>
      </c>
      <c r="L65" s="1305">
        <v>1</v>
      </c>
      <c r="M65" s="1305">
        <v>0.92</v>
      </c>
      <c r="N65" s="1305">
        <v>1</v>
      </c>
      <c r="O65" s="1305">
        <v>1</v>
      </c>
      <c r="P65" s="1305">
        <v>1</v>
      </c>
      <c r="Q65" s="1305">
        <v>1</v>
      </c>
      <c r="R65" s="1325">
        <v>1</v>
      </c>
      <c r="S65" s="1325">
        <v>1</v>
      </c>
      <c r="T65" s="1325">
        <v>1</v>
      </c>
      <c r="U65" s="1325">
        <v>1</v>
      </c>
      <c r="V65" s="1326">
        <v>1</v>
      </c>
      <c r="W65" s="1326">
        <v>1</v>
      </c>
      <c r="X65" s="1324">
        <v>1</v>
      </c>
      <c r="Y65" s="1324">
        <v>1</v>
      </c>
      <c r="Z65" s="1324">
        <v>1</v>
      </c>
      <c r="AA65" s="1324">
        <v>1</v>
      </c>
      <c r="AB65" s="1327"/>
      <c r="AC65" s="1327"/>
      <c r="AD65" s="1327"/>
      <c r="AE65" s="1327"/>
      <c r="AF65" s="549"/>
      <c r="AG65" s="983"/>
    </row>
    <row r="66" spans="1:34" ht="20.25" hidden="1" customHeight="1" thickBot="1" x14ac:dyDescent="0.25">
      <c r="B66" s="2406"/>
      <c r="C66" s="1222" t="s">
        <v>321</v>
      </c>
      <c r="D66" s="2409">
        <v>0.73</v>
      </c>
      <c r="E66" s="2409"/>
      <c r="F66" s="2410">
        <v>0.92</v>
      </c>
      <c r="G66" s="2410"/>
      <c r="H66" s="1323">
        <v>1</v>
      </c>
      <c r="I66" s="1323">
        <v>1</v>
      </c>
      <c r="J66" s="1323">
        <v>0.93</v>
      </c>
      <c r="K66" s="1323">
        <v>0.96</v>
      </c>
      <c r="L66" s="1194">
        <v>0.95</v>
      </c>
      <c r="M66" s="1194">
        <v>1</v>
      </c>
      <c r="N66" s="1194">
        <v>1</v>
      </c>
      <c r="O66" s="1194">
        <v>1</v>
      </c>
      <c r="P66" s="1194">
        <v>1</v>
      </c>
      <c r="Q66" s="1194">
        <v>1</v>
      </c>
      <c r="R66" s="1195">
        <v>0.94</v>
      </c>
      <c r="S66" s="1195">
        <v>0.6</v>
      </c>
      <c r="T66" s="1196"/>
      <c r="U66" s="1196"/>
      <c r="V66" s="1197"/>
      <c r="W66" s="1197"/>
      <c r="X66" s="1198"/>
      <c r="Y66" s="1198"/>
      <c r="Z66" s="1198"/>
      <c r="AA66" s="1198"/>
      <c r="AB66" s="1199"/>
      <c r="AC66" s="1199"/>
      <c r="AD66" s="1199"/>
      <c r="AE66" s="1199"/>
      <c r="AF66" s="1143"/>
      <c r="AG66" s="1144"/>
    </row>
    <row r="67" spans="1:34" ht="42" customHeight="1" thickBot="1" x14ac:dyDescent="0.25">
      <c r="A67" s="990"/>
      <c r="B67" s="2393" t="s">
        <v>433</v>
      </c>
      <c r="C67" s="1398" t="s">
        <v>413</v>
      </c>
      <c r="D67" s="1179"/>
      <c r="E67" s="1179"/>
      <c r="F67" s="1124"/>
      <c r="G67" s="1124"/>
      <c r="H67" s="1124"/>
      <c r="I67" s="1124"/>
      <c r="J67" s="1124"/>
      <c r="K67" s="1124"/>
      <c r="L67" s="1315"/>
      <c r="M67" s="1315"/>
      <c r="N67" s="1315"/>
      <c r="O67" s="1315"/>
      <c r="P67" s="1315"/>
      <c r="Q67" s="1315"/>
      <c r="R67" s="2418">
        <v>3</v>
      </c>
      <c r="S67" s="2418"/>
      <c r="T67" s="2418">
        <v>1</v>
      </c>
      <c r="U67" s="2418"/>
      <c r="V67" s="2450">
        <v>1</v>
      </c>
      <c r="W67" s="2450"/>
      <c r="X67" s="2446">
        <v>0.69</v>
      </c>
      <c r="Y67" s="2446"/>
      <c r="Z67" s="2446">
        <v>0.5</v>
      </c>
      <c r="AA67" s="2446"/>
      <c r="AB67" s="2447">
        <v>1</v>
      </c>
      <c r="AC67" s="2447"/>
      <c r="AD67" s="2308">
        <v>0.871</v>
      </c>
      <c r="AE67" s="2308"/>
      <c r="AF67" s="1413">
        <f>AVERAGE(AB67:AE67)</f>
        <v>0.9355</v>
      </c>
      <c r="AG67" s="1414">
        <f>AD67-AB67</f>
        <v>-0.129</v>
      </c>
      <c r="AH67" s="781">
        <v>1</v>
      </c>
    </row>
    <row r="68" spans="1:34" ht="27" hidden="1" customHeight="1" thickBot="1" x14ac:dyDescent="0.25">
      <c r="A68" s="991"/>
      <c r="B68" s="2395"/>
      <c r="C68" s="1379" t="s">
        <v>434</v>
      </c>
      <c r="D68" s="1065"/>
      <c r="E68" s="1065"/>
      <c r="F68" s="1178"/>
      <c r="G68" s="1178"/>
      <c r="H68" s="1178"/>
      <c r="I68" s="1178"/>
      <c r="J68" s="1178"/>
      <c r="K68" s="1178"/>
      <c r="L68" s="1310"/>
      <c r="M68" s="1310"/>
      <c r="N68" s="1310"/>
      <c r="O68" s="1310"/>
      <c r="P68" s="1310"/>
      <c r="Q68" s="1310"/>
      <c r="R68" s="2434">
        <v>1.1299999999999999</v>
      </c>
      <c r="S68" s="2434"/>
      <c r="T68" s="1310"/>
      <c r="U68" s="1310"/>
      <c r="V68" s="1069"/>
      <c r="W68" s="1069"/>
      <c r="X68" s="1192"/>
      <c r="Y68" s="1192"/>
      <c r="Z68" s="1192"/>
      <c r="AA68" s="1192"/>
      <c r="AB68" s="1193"/>
      <c r="AC68" s="1193"/>
      <c r="AD68" s="1193"/>
      <c r="AE68" s="1193"/>
      <c r="AF68" s="1137"/>
      <c r="AG68" s="1138"/>
    </row>
    <row r="69" spans="1:34" ht="55.5" customHeight="1" thickBot="1" x14ac:dyDescent="0.25">
      <c r="B69" s="1384" t="s">
        <v>397</v>
      </c>
      <c r="C69" s="1385" t="s">
        <v>381</v>
      </c>
      <c r="D69" s="1200"/>
      <c r="E69" s="1200"/>
      <c r="F69" s="1108"/>
      <c r="G69" s="1108"/>
      <c r="H69" s="1108"/>
      <c r="I69" s="1108"/>
      <c r="J69" s="1108"/>
      <c r="K69" s="1108"/>
      <c r="L69" s="1317"/>
      <c r="M69" s="1317"/>
      <c r="N69" s="1317"/>
      <c r="O69" s="1317"/>
      <c r="P69" s="1317">
        <v>1</v>
      </c>
      <c r="Q69" s="1317">
        <v>1</v>
      </c>
      <c r="R69" s="1317">
        <v>1</v>
      </c>
      <c r="S69" s="1317">
        <v>1</v>
      </c>
      <c r="T69" s="1317">
        <v>1</v>
      </c>
      <c r="U69" s="1317">
        <v>1</v>
      </c>
      <c r="V69" s="1204">
        <v>1</v>
      </c>
      <c r="W69" s="1204">
        <v>1</v>
      </c>
      <c r="X69" s="1206">
        <v>1</v>
      </c>
      <c r="Y69" s="1206">
        <v>1</v>
      </c>
      <c r="Z69" s="1206">
        <v>1</v>
      </c>
      <c r="AA69" s="1207">
        <v>0.99980000000000002</v>
      </c>
      <c r="AB69" s="1208">
        <v>0.99039999999999995</v>
      </c>
      <c r="AC69" s="1205">
        <v>0.99909999999999999</v>
      </c>
      <c r="AD69" s="1386">
        <v>0.99729999999999996</v>
      </c>
      <c r="AE69" s="1386">
        <v>0.98680000000000001</v>
      </c>
      <c r="AF69" s="1115">
        <f t="shared" ref="AF69:AF71" si="30">AVERAGE(AD69:AE69)</f>
        <v>0.99204999999999999</v>
      </c>
      <c r="AG69" s="1116">
        <f t="shared" ref="AG69:AG71" si="31">AE69-AD69</f>
        <v>-1.0499999999999954E-2</v>
      </c>
      <c r="AH69" s="781">
        <v>1</v>
      </c>
    </row>
    <row r="70" spans="1:34" ht="70.5" customHeight="1" thickBot="1" x14ac:dyDescent="0.25">
      <c r="B70" s="1424" t="s">
        <v>140</v>
      </c>
      <c r="C70" s="1425" t="s">
        <v>600</v>
      </c>
      <c r="D70" s="1209">
        <v>0.43</v>
      </c>
      <c r="E70" s="1314">
        <v>0.77</v>
      </c>
      <c r="F70" s="2448">
        <v>0.65</v>
      </c>
      <c r="G70" s="2448"/>
      <c r="H70" s="1210">
        <v>0.65</v>
      </c>
      <c r="I70" s="1211">
        <v>0.20799999999999999</v>
      </c>
      <c r="J70" s="2449">
        <v>0.875</v>
      </c>
      <c r="K70" s="2449"/>
      <c r="L70" s="2449">
        <v>0.91800000000000004</v>
      </c>
      <c r="M70" s="2449"/>
      <c r="N70" s="2449">
        <v>0.84</v>
      </c>
      <c r="O70" s="2449"/>
      <c r="P70" s="2449">
        <v>0.92</v>
      </c>
      <c r="Q70" s="2449"/>
      <c r="R70" s="2449">
        <v>0.92</v>
      </c>
      <c r="S70" s="2449"/>
      <c r="T70" s="2449">
        <v>0.99</v>
      </c>
      <c r="U70" s="2449"/>
      <c r="V70" s="1212">
        <v>0.98</v>
      </c>
      <c r="W70" s="1212">
        <v>0.98</v>
      </c>
      <c r="X70" s="1213">
        <v>1</v>
      </c>
      <c r="Y70" s="1213">
        <v>1</v>
      </c>
      <c r="Z70" s="1213">
        <v>0.82110000000000005</v>
      </c>
      <c r="AA70" s="1213">
        <v>1</v>
      </c>
      <c r="AB70" s="1214">
        <v>1</v>
      </c>
      <c r="AC70" s="1214">
        <v>1</v>
      </c>
      <c r="AD70" s="1426">
        <v>1</v>
      </c>
      <c r="AE70" s="1426">
        <v>1</v>
      </c>
      <c r="AF70" s="1215">
        <f t="shared" si="30"/>
        <v>1</v>
      </c>
      <c r="AG70" s="1216">
        <f t="shared" si="31"/>
        <v>0</v>
      </c>
      <c r="AH70" s="781">
        <v>1</v>
      </c>
    </row>
    <row r="71" spans="1:34" ht="44.25" customHeight="1" x14ac:dyDescent="0.2">
      <c r="B71" s="2415" t="s">
        <v>479</v>
      </c>
      <c r="C71" s="1427" t="s">
        <v>1295</v>
      </c>
      <c r="D71" s="1179"/>
      <c r="E71" s="1180"/>
      <c r="F71" s="1180"/>
      <c r="G71" s="1180"/>
      <c r="H71" s="1217"/>
      <c r="I71" s="1218"/>
      <c r="J71" s="1315"/>
      <c r="K71" s="1315"/>
      <c r="L71" s="1315"/>
      <c r="M71" s="1315"/>
      <c r="N71" s="1315"/>
      <c r="O71" s="1315"/>
      <c r="P71" s="1315"/>
      <c r="Q71" s="1315"/>
      <c r="R71" s="2418"/>
      <c r="S71" s="2418"/>
      <c r="T71" s="1219">
        <v>0.52</v>
      </c>
      <c r="U71" s="1219">
        <v>0.53</v>
      </c>
      <c r="V71" s="1220">
        <v>0.56999999999999995</v>
      </c>
      <c r="W71" s="1220">
        <v>0.63</v>
      </c>
      <c r="X71" s="1333">
        <v>0.63</v>
      </c>
      <c r="Y71" s="1333">
        <v>0.64</v>
      </c>
      <c r="Z71" s="1333">
        <v>0.63</v>
      </c>
      <c r="AA71" s="1333">
        <v>0.64</v>
      </c>
      <c r="AB71" s="1428">
        <v>0.8679</v>
      </c>
      <c r="AC71" s="1428">
        <v>0.85709999999999997</v>
      </c>
      <c r="AD71" s="1429">
        <v>0.8367</v>
      </c>
      <c r="AE71" s="1429">
        <v>0.85150000000000003</v>
      </c>
      <c r="AF71" s="1131">
        <f t="shared" si="30"/>
        <v>0.84410000000000007</v>
      </c>
      <c r="AG71" s="1150">
        <f t="shared" si="31"/>
        <v>1.4800000000000035E-2</v>
      </c>
      <c r="AH71" s="2441">
        <v>1</v>
      </c>
    </row>
    <row r="72" spans="1:34" ht="40.5" customHeight="1" x14ac:dyDescent="0.2">
      <c r="B72" s="2416"/>
      <c r="C72" s="1430" t="s">
        <v>1296</v>
      </c>
      <c r="D72" s="1321"/>
      <c r="E72" s="1311"/>
      <c r="F72" s="1311"/>
      <c r="G72" s="1311"/>
      <c r="H72" s="1061"/>
      <c r="I72" s="1062"/>
      <c r="J72" s="1305"/>
      <c r="K72" s="1305"/>
      <c r="L72" s="1305"/>
      <c r="M72" s="1305"/>
      <c r="N72" s="1305"/>
      <c r="O72" s="1305"/>
      <c r="P72" s="1305"/>
      <c r="Q72" s="1305"/>
      <c r="R72" s="1305"/>
      <c r="S72" s="1305"/>
      <c r="T72" s="1063"/>
      <c r="U72" s="1063"/>
      <c r="V72" s="1326"/>
      <c r="W72" s="1326"/>
      <c r="X72" s="1324"/>
      <c r="Y72" s="1324"/>
      <c r="Z72" s="1324"/>
      <c r="AA72" s="1324"/>
      <c r="AB72" s="1431">
        <v>0.79169999999999996</v>
      </c>
      <c r="AC72" s="1431">
        <v>0.77500000000000002</v>
      </c>
      <c r="AD72" s="1423">
        <v>0.78949999999999998</v>
      </c>
      <c r="AE72" s="1423">
        <v>0.76319999999999999</v>
      </c>
      <c r="AF72" s="549">
        <f t="shared" ref="AF72:AF74" si="32">AVERAGE(AD72:AE72)</f>
        <v>0.77634999999999998</v>
      </c>
      <c r="AG72" s="1151">
        <f t="shared" ref="AG72:AG74" si="33">AE72-AD72</f>
        <v>-2.629999999999999E-2</v>
      </c>
      <c r="AH72" s="2441"/>
    </row>
    <row r="73" spans="1:34" ht="45" customHeight="1" x14ac:dyDescent="0.2">
      <c r="B73" s="2416"/>
      <c r="C73" s="1430" t="s">
        <v>1293</v>
      </c>
      <c r="D73" s="1321"/>
      <c r="E73" s="1311"/>
      <c r="F73" s="1311"/>
      <c r="G73" s="1311"/>
      <c r="H73" s="1061"/>
      <c r="I73" s="1062"/>
      <c r="J73" s="1305"/>
      <c r="K73" s="1305"/>
      <c r="L73" s="1305"/>
      <c r="M73" s="1305"/>
      <c r="N73" s="1305"/>
      <c r="O73" s="1305"/>
      <c r="P73" s="1305"/>
      <c r="Q73" s="1305"/>
      <c r="R73" s="1305"/>
      <c r="S73" s="1305"/>
      <c r="T73" s="1063"/>
      <c r="U73" s="1063"/>
      <c r="V73" s="1326"/>
      <c r="W73" s="1326"/>
      <c r="X73" s="1324"/>
      <c r="Y73" s="1324"/>
      <c r="Z73" s="1324"/>
      <c r="AA73" s="1324"/>
      <c r="AB73" s="1431">
        <v>0.55359999999999998</v>
      </c>
      <c r="AC73" s="1431">
        <v>0.66379999999999995</v>
      </c>
      <c r="AD73" s="1423">
        <v>0.7702</v>
      </c>
      <c r="AE73" s="1423">
        <v>0.72</v>
      </c>
      <c r="AF73" s="549">
        <f t="shared" si="32"/>
        <v>0.74509999999999998</v>
      </c>
      <c r="AG73" s="1151">
        <f t="shared" si="33"/>
        <v>-5.0200000000000022E-2</v>
      </c>
      <c r="AH73" s="2441"/>
    </row>
    <row r="74" spans="1:34" ht="30" customHeight="1" thickBot="1" x14ac:dyDescent="0.25">
      <c r="B74" s="2416"/>
      <c r="C74" s="1432" t="s">
        <v>1297</v>
      </c>
      <c r="D74" s="1065"/>
      <c r="E74" s="1066"/>
      <c r="F74" s="1066"/>
      <c r="G74" s="1066"/>
      <c r="H74" s="1067"/>
      <c r="I74" s="1068"/>
      <c r="J74" s="1310"/>
      <c r="K74" s="1310"/>
      <c r="L74" s="1310"/>
      <c r="M74" s="1310"/>
      <c r="N74" s="1310"/>
      <c r="O74" s="1310"/>
      <c r="P74" s="1310"/>
      <c r="Q74" s="1310"/>
      <c r="R74" s="1310"/>
      <c r="S74" s="1310"/>
      <c r="T74" s="1221"/>
      <c r="U74" s="1221"/>
      <c r="V74" s="1184"/>
      <c r="W74" s="1184"/>
      <c r="X74" s="1185"/>
      <c r="Y74" s="1185"/>
      <c r="Z74" s="1185"/>
      <c r="AA74" s="1185"/>
      <c r="AB74" s="1433">
        <v>0.84440000000000004</v>
      </c>
      <c r="AC74" s="1433">
        <v>0.74239999999999995</v>
      </c>
      <c r="AD74" s="1434">
        <v>0.78690000000000004</v>
      </c>
      <c r="AE74" s="1434">
        <v>0.77969999999999995</v>
      </c>
      <c r="AF74" s="1158">
        <f t="shared" si="32"/>
        <v>0.7833</v>
      </c>
      <c r="AG74" s="1159">
        <f t="shared" si="33"/>
        <v>-7.2000000000000952E-3</v>
      </c>
      <c r="AH74" s="2441"/>
    </row>
    <row r="75" spans="1:34" ht="30" customHeight="1" thickBot="1" x14ac:dyDescent="0.25">
      <c r="B75" s="2416"/>
      <c r="C75" s="1435" t="s">
        <v>1254</v>
      </c>
      <c r="D75" s="1200"/>
      <c r="E75" s="1201"/>
      <c r="F75" s="1201"/>
      <c r="G75" s="1201"/>
      <c r="H75" s="1202"/>
      <c r="I75" s="1203"/>
      <c r="J75" s="1317"/>
      <c r="K75" s="1317"/>
      <c r="L75" s="1317"/>
      <c r="M75" s="1317"/>
      <c r="N75" s="1317"/>
      <c r="O75" s="1317"/>
      <c r="P75" s="1317"/>
      <c r="Q75" s="1317"/>
      <c r="R75" s="2419"/>
      <c r="S75" s="2419"/>
      <c r="T75" s="2420">
        <v>0.2</v>
      </c>
      <c r="U75" s="2420"/>
      <c r="V75" s="2421">
        <v>0.5</v>
      </c>
      <c r="W75" s="2421"/>
      <c r="X75" s="2422">
        <v>0</v>
      </c>
      <c r="Y75" s="2422"/>
      <c r="Z75" s="2422">
        <v>0.5</v>
      </c>
      <c r="AA75" s="2422"/>
      <c r="AB75" s="2455">
        <v>1</v>
      </c>
      <c r="AC75" s="2455"/>
      <c r="AD75" s="2309">
        <v>1</v>
      </c>
      <c r="AE75" s="2309"/>
      <c r="AF75" s="1436">
        <f t="shared" ref="AF75:AF76" si="34">AVERAGE(AB75:AE75)</f>
        <v>1</v>
      </c>
      <c r="AG75" s="1437">
        <f t="shared" ref="AG75:AG76" si="35">AD75-AB75</f>
        <v>0</v>
      </c>
      <c r="AH75" s="781">
        <v>1</v>
      </c>
    </row>
    <row r="76" spans="1:34" ht="30" customHeight="1" thickBot="1" x14ac:dyDescent="0.25">
      <c r="B76" s="2416"/>
      <c r="C76" s="1438" t="s">
        <v>1180</v>
      </c>
      <c r="D76" s="1209"/>
      <c r="E76" s="1314"/>
      <c r="F76" s="1314"/>
      <c r="G76" s="1314"/>
      <c r="H76" s="1210"/>
      <c r="I76" s="1211"/>
      <c r="J76" s="1306"/>
      <c r="K76" s="1306"/>
      <c r="L76" s="1306"/>
      <c r="M76" s="1306"/>
      <c r="N76" s="1306"/>
      <c r="O76" s="1306"/>
      <c r="P76" s="1306"/>
      <c r="Q76" s="1306"/>
      <c r="R76" s="2449"/>
      <c r="S76" s="2449"/>
      <c r="T76" s="2423">
        <v>0.71</v>
      </c>
      <c r="U76" s="2423"/>
      <c r="V76" s="2424">
        <v>0.67</v>
      </c>
      <c r="W76" s="2424"/>
      <c r="X76" s="2425">
        <v>0.77780000000000005</v>
      </c>
      <c r="Y76" s="2425"/>
      <c r="Z76" s="2425">
        <v>0.625</v>
      </c>
      <c r="AA76" s="2425"/>
      <c r="AB76" s="2460">
        <v>1</v>
      </c>
      <c r="AC76" s="2460"/>
      <c r="AD76" s="2310">
        <v>1</v>
      </c>
      <c r="AE76" s="2310"/>
      <c r="AF76" s="1439">
        <f t="shared" si="34"/>
        <v>1</v>
      </c>
      <c r="AG76" s="1440">
        <f t="shared" si="35"/>
        <v>0</v>
      </c>
      <c r="AH76" s="781">
        <v>1</v>
      </c>
    </row>
    <row r="77" spans="1:34" ht="30" customHeight="1" x14ac:dyDescent="0.2">
      <c r="B77" s="2416"/>
      <c r="C77" s="1441" t="s">
        <v>1181</v>
      </c>
      <c r="D77" s="1179"/>
      <c r="E77" s="1180"/>
      <c r="F77" s="1180"/>
      <c r="G77" s="1180"/>
      <c r="H77" s="1217"/>
      <c r="I77" s="1218"/>
      <c r="J77" s="1315"/>
      <c r="K77" s="1315"/>
      <c r="L77" s="1315"/>
      <c r="M77" s="1315"/>
      <c r="N77" s="1315"/>
      <c r="O77" s="1315"/>
      <c r="P77" s="1315"/>
      <c r="Q77" s="1315"/>
      <c r="R77" s="2418"/>
      <c r="S77" s="2418"/>
      <c r="T77" s="1332">
        <v>0.99</v>
      </c>
      <c r="U77" s="1332">
        <v>0.94</v>
      </c>
      <c r="V77" s="1128">
        <v>4.5199999999999996</v>
      </c>
      <c r="W77" s="1442" t="s">
        <v>626</v>
      </c>
      <c r="X77" s="1443">
        <v>4.58</v>
      </c>
      <c r="Y77" s="1443">
        <v>4.59</v>
      </c>
      <c r="Z77" s="1443">
        <v>4.6100000000000003</v>
      </c>
      <c r="AA77" s="1443">
        <v>4.72</v>
      </c>
      <c r="AB77" s="1444">
        <v>4.66</v>
      </c>
      <c r="AC77" s="1444">
        <v>4.74</v>
      </c>
      <c r="AD77" s="1445">
        <v>4.66</v>
      </c>
      <c r="AE77" s="1445">
        <v>4.72</v>
      </c>
      <c r="AF77" s="1446">
        <f>AVERAGE(AD77:AE77)</f>
        <v>4.6899999999999995</v>
      </c>
      <c r="AG77" s="1447">
        <f>AE77-AD77</f>
        <v>5.9999999999999609E-2</v>
      </c>
      <c r="AH77" s="781">
        <v>1</v>
      </c>
    </row>
    <row r="78" spans="1:34" ht="39" customHeight="1" x14ac:dyDescent="0.2">
      <c r="B78" s="2416"/>
      <c r="C78" s="1448" t="s">
        <v>1182</v>
      </c>
      <c r="D78" s="1321"/>
      <c r="E78" s="1311"/>
      <c r="F78" s="1311"/>
      <c r="G78" s="1311"/>
      <c r="H78" s="1061"/>
      <c r="I78" s="1062"/>
      <c r="J78" s="1305"/>
      <c r="K78" s="1305"/>
      <c r="L78" s="1305"/>
      <c r="M78" s="1305"/>
      <c r="N78" s="1305"/>
      <c r="O78" s="1305"/>
      <c r="P78" s="1305"/>
      <c r="Q78" s="1305"/>
      <c r="R78" s="1305"/>
      <c r="S78" s="1305"/>
      <c r="T78" s="1328"/>
      <c r="U78" s="1328"/>
      <c r="V78" s="1064"/>
      <c r="W78" s="1449"/>
      <c r="X78" s="1094"/>
      <c r="Y78" s="1094"/>
      <c r="Z78" s="1094">
        <v>4.71</v>
      </c>
      <c r="AA78" s="1094">
        <v>4.7</v>
      </c>
      <c r="AB78" s="2442">
        <v>4.63</v>
      </c>
      <c r="AC78" s="2442">
        <v>4.6500000000000004</v>
      </c>
      <c r="AD78" s="1445">
        <v>4.6100000000000003</v>
      </c>
      <c r="AE78" s="1445">
        <v>4.63</v>
      </c>
      <c r="AF78" s="992">
        <f t="shared" ref="AF78:AF80" si="36">AVERAGE(AD78:AE78)</f>
        <v>4.62</v>
      </c>
      <c r="AG78" s="1450">
        <f t="shared" ref="AG78:AG80" si="37">AE78-AD78</f>
        <v>1.9999999999999574E-2</v>
      </c>
      <c r="AH78" s="781">
        <v>1</v>
      </c>
    </row>
    <row r="79" spans="1:34" ht="30" customHeight="1" x14ac:dyDescent="0.2">
      <c r="B79" s="2416"/>
      <c r="C79" s="1448" t="s">
        <v>1183</v>
      </c>
      <c r="D79" s="1321"/>
      <c r="E79" s="1311"/>
      <c r="F79" s="1311"/>
      <c r="G79" s="1311"/>
      <c r="H79" s="1061"/>
      <c r="I79" s="1062"/>
      <c r="J79" s="1305"/>
      <c r="K79" s="1305"/>
      <c r="L79" s="1305"/>
      <c r="M79" s="1305"/>
      <c r="N79" s="1305"/>
      <c r="O79" s="1305"/>
      <c r="P79" s="1305"/>
      <c r="Q79" s="1305"/>
      <c r="R79" s="1305"/>
      <c r="S79" s="1305"/>
      <c r="T79" s="1328"/>
      <c r="U79" s="1328"/>
      <c r="V79" s="1064"/>
      <c r="W79" s="1449"/>
      <c r="X79" s="1094"/>
      <c r="Y79" s="1094"/>
      <c r="Z79" s="1094">
        <v>4.5199999999999996</v>
      </c>
      <c r="AA79" s="1094">
        <v>4.68</v>
      </c>
      <c r="AB79" s="2442"/>
      <c r="AC79" s="2442"/>
      <c r="AD79" s="1445">
        <v>4.57</v>
      </c>
      <c r="AE79" s="1445">
        <v>4.7</v>
      </c>
      <c r="AF79" s="992">
        <f t="shared" si="36"/>
        <v>4.6349999999999998</v>
      </c>
      <c r="AG79" s="1450">
        <f t="shared" si="37"/>
        <v>0.12999999999999989</v>
      </c>
      <c r="AH79" s="781">
        <v>1</v>
      </c>
    </row>
    <row r="80" spans="1:34" ht="30" customHeight="1" thickBot="1" x14ac:dyDescent="0.25">
      <c r="B80" s="2416"/>
      <c r="C80" s="1451" t="s">
        <v>1184</v>
      </c>
      <c r="D80" s="1322"/>
      <c r="E80" s="1452"/>
      <c r="F80" s="1452"/>
      <c r="G80" s="1452"/>
      <c r="H80" s="1453"/>
      <c r="I80" s="1454"/>
      <c r="J80" s="1194"/>
      <c r="K80" s="1194"/>
      <c r="L80" s="1194"/>
      <c r="M80" s="1194"/>
      <c r="N80" s="1194"/>
      <c r="O80" s="1194"/>
      <c r="P80" s="1194"/>
      <c r="Q80" s="1194"/>
      <c r="R80" s="1194"/>
      <c r="S80" s="1194"/>
      <c r="T80" s="1455"/>
      <c r="U80" s="1455"/>
      <c r="V80" s="1456"/>
      <c r="W80" s="1457"/>
      <c r="X80" s="1458"/>
      <c r="Y80" s="1458"/>
      <c r="Z80" s="1458">
        <v>4.63</v>
      </c>
      <c r="AA80" s="1458">
        <v>4.6399999999999997</v>
      </c>
      <c r="AB80" s="1459">
        <v>2.33</v>
      </c>
      <c r="AC80" s="1459">
        <v>4.6900000000000004</v>
      </c>
      <c r="AD80" s="1460">
        <v>4.6100000000000003</v>
      </c>
      <c r="AE80" s="1460">
        <v>4.68</v>
      </c>
      <c r="AF80" s="1461">
        <f t="shared" si="36"/>
        <v>4.6449999999999996</v>
      </c>
      <c r="AG80" s="1462">
        <f t="shared" si="37"/>
        <v>6.9999999999999396E-2</v>
      </c>
      <c r="AH80" s="781">
        <v>1</v>
      </c>
    </row>
    <row r="81" spans="2:39" ht="60" customHeight="1" thickBot="1" x14ac:dyDescent="0.25">
      <c r="B81" s="2417"/>
      <c r="C81" s="1435" t="s">
        <v>746</v>
      </c>
      <c r="D81" s="1200"/>
      <c r="E81" s="1201"/>
      <c r="F81" s="1201"/>
      <c r="G81" s="1201"/>
      <c r="H81" s="1202"/>
      <c r="I81" s="1203"/>
      <c r="J81" s="1317"/>
      <c r="K81" s="1317"/>
      <c r="L81" s="1317"/>
      <c r="M81" s="1317"/>
      <c r="N81" s="1317"/>
      <c r="O81" s="1317"/>
      <c r="P81" s="1317"/>
      <c r="Q81" s="1317"/>
      <c r="R81" s="1317"/>
      <c r="S81" s="1317"/>
      <c r="T81" s="1318"/>
      <c r="U81" s="1318"/>
      <c r="V81" s="1112"/>
      <c r="W81" s="1463"/>
      <c r="X81" s="1464"/>
      <c r="Y81" s="1464"/>
      <c r="Z81" s="1113">
        <v>0.98960000000000004</v>
      </c>
      <c r="AA81" s="1465">
        <v>1</v>
      </c>
      <c r="AB81" s="1466">
        <v>1</v>
      </c>
      <c r="AC81" s="1467">
        <v>1</v>
      </c>
      <c r="AD81" s="1468">
        <v>1</v>
      </c>
      <c r="AE81" s="1469">
        <v>1</v>
      </c>
      <c r="AF81" s="1115">
        <f t="shared" ref="AF81" si="38">AVERAGE(AD81:AE81)</f>
        <v>1</v>
      </c>
      <c r="AG81" s="1116">
        <f t="shared" ref="AG81" si="39">AE81-AD81</f>
        <v>0</v>
      </c>
      <c r="AH81" s="781">
        <v>1</v>
      </c>
    </row>
    <row r="82" spans="2:39" ht="42" customHeight="1" x14ac:dyDescent="0.2">
      <c r="B82" s="2405" t="s">
        <v>448</v>
      </c>
      <c r="C82" s="1377" t="s">
        <v>457</v>
      </c>
      <c r="D82" s="1470"/>
      <c r="E82" s="1471"/>
      <c r="F82" s="1471"/>
      <c r="G82" s="1471"/>
      <c r="H82" s="1472"/>
      <c r="I82" s="1473"/>
      <c r="J82" s="1320"/>
      <c r="K82" s="1320"/>
      <c r="L82" s="1320"/>
      <c r="M82" s="1320"/>
      <c r="N82" s="1320"/>
      <c r="O82" s="1320"/>
      <c r="P82" s="1320"/>
      <c r="Q82" s="1320"/>
      <c r="R82" s="2407"/>
      <c r="S82" s="2407"/>
      <c r="T82" s="2407">
        <v>0.89</v>
      </c>
      <c r="U82" s="2407"/>
      <c r="V82" s="2454">
        <v>0.89</v>
      </c>
      <c r="W82" s="2454"/>
      <c r="X82" s="2403">
        <v>1</v>
      </c>
      <c r="Y82" s="2403"/>
      <c r="Z82" s="2403">
        <v>1</v>
      </c>
      <c r="AA82" s="2403"/>
      <c r="AB82" s="2404">
        <v>1</v>
      </c>
      <c r="AC82" s="2404"/>
      <c r="AD82" s="2311">
        <v>0.125</v>
      </c>
      <c r="AE82" s="2311"/>
      <c r="AF82" s="1420">
        <f>AVERAGE(AB82:AE82)</f>
        <v>0.5625</v>
      </c>
      <c r="AG82" s="1421">
        <f>AD82-AB82</f>
        <v>-0.875</v>
      </c>
      <c r="AH82" s="781">
        <v>1</v>
      </c>
    </row>
    <row r="83" spans="2:39" ht="40.5" customHeight="1" x14ac:dyDescent="0.2">
      <c r="B83" s="2394"/>
      <c r="C83" s="1377" t="s">
        <v>459</v>
      </c>
      <c r="D83" s="1321"/>
      <c r="E83" s="1311"/>
      <c r="F83" s="1311"/>
      <c r="G83" s="1311"/>
      <c r="H83" s="1061"/>
      <c r="I83" s="1062"/>
      <c r="J83" s="1305"/>
      <c r="K83" s="1305"/>
      <c r="L83" s="1305"/>
      <c r="M83" s="1305"/>
      <c r="N83" s="1305"/>
      <c r="O83" s="1305"/>
      <c r="P83" s="1305"/>
      <c r="Q83" s="1305"/>
      <c r="R83" s="2396"/>
      <c r="S83" s="2396"/>
      <c r="T83" s="2453">
        <v>4.5999999999999996</v>
      </c>
      <c r="U83" s="2453"/>
      <c r="V83" s="1064">
        <v>4.55</v>
      </c>
      <c r="W83" s="1064">
        <v>4.63</v>
      </c>
      <c r="X83" s="1094">
        <v>4.8499999999999996</v>
      </c>
      <c r="Y83" s="1094">
        <v>4.88</v>
      </c>
      <c r="Z83" s="1094">
        <v>4.8499999999999996</v>
      </c>
      <c r="AA83" s="1094">
        <v>4.9400000000000004</v>
      </c>
      <c r="AB83" s="1474">
        <v>4.68</v>
      </c>
      <c r="AC83" s="1475">
        <v>4.9000000000000004</v>
      </c>
      <c r="AD83" s="1476">
        <v>4.58</v>
      </c>
      <c r="AE83" s="1476">
        <v>4.67</v>
      </c>
      <c r="AF83" s="992">
        <f t="shared" ref="AF83:AF84" si="40">AVERAGE(AB83:AC83)</f>
        <v>4.79</v>
      </c>
      <c r="AG83" s="606">
        <f t="shared" ref="AG83:AG84" si="41">AC83-AB83</f>
        <v>0.22000000000000064</v>
      </c>
      <c r="AH83" s="781">
        <v>1</v>
      </c>
    </row>
    <row r="84" spans="2:39" ht="42" customHeight="1" thickBot="1" x14ac:dyDescent="0.25">
      <c r="B84" s="2435" t="s">
        <v>519</v>
      </c>
      <c r="C84" s="1376" t="s">
        <v>1033</v>
      </c>
      <c r="D84" s="1321">
        <v>0.43</v>
      </c>
      <c r="E84" s="1311">
        <v>0.77</v>
      </c>
      <c r="F84" s="2408">
        <v>0.65</v>
      </c>
      <c r="G84" s="2408"/>
      <c r="H84" s="1061">
        <v>0.65</v>
      </c>
      <c r="I84" s="1062">
        <v>0.20799999999999999</v>
      </c>
      <c r="J84" s="2396">
        <v>0.875</v>
      </c>
      <c r="K84" s="2396"/>
      <c r="L84" s="2396">
        <v>0.91800000000000004</v>
      </c>
      <c r="M84" s="2396"/>
      <c r="N84" s="2396">
        <v>0.84</v>
      </c>
      <c r="O84" s="2396"/>
      <c r="P84" s="2396">
        <v>0.92</v>
      </c>
      <c r="Q84" s="2396"/>
      <c r="R84" s="2396"/>
      <c r="S84" s="2396"/>
      <c r="T84" s="1305">
        <v>1</v>
      </c>
      <c r="U84" s="1305">
        <v>1</v>
      </c>
      <c r="V84" s="1309">
        <v>0.97799999999999998</v>
      </c>
      <c r="W84" s="1309">
        <v>0.95</v>
      </c>
      <c r="X84" s="1095">
        <v>4.66</v>
      </c>
      <c r="Y84" s="1095">
        <v>4.7</v>
      </c>
      <c r="Z84" s="1095">
        <v>4.3499999999999996</v>
      </c>
      <c r="AA84" s="1095">
        <v>4.2699999999999996</v>
      </c>
      <c r="AB84" s="993">
        <v>4.57</v>
      </c>
      <c r="AC84" s="993">
        <v>4.7699999999999996</v>
      </c>
      <c r="AD84" s="1477">
        <v>4.5</v>
      </c>
      <c r="AE84" s="1477">
        <v>7.72</v>
      </c>
      <c r="AF84" s="992">
        <f t="shared" si="40"/>
        <v>4.67</v>
      </c>
      <c r="AG84" s="606">
        <f t="shared" si="41"/>
        <v>0.19999999999999929</v>
      </c>
      <c r="AH84" s="781">
        <v>1</v>
      </c>
    </row>
    <row r="85" spans="2:39" ht="49.5" customHeight="1" thickBot="1" x14ac:dyDescent="0.25">
      <c r="B85" s="2436"/>
      <c r="C85" s="1415" t="s">
        <v>1016</v>
      </c>
      <c r="D85" s="1321"/>
      <c r="E85" s="1311"/>
      <c r="F85" s="1311"/>
      <c r="G85" s="1311"/>
      <c r="H85" s="1061"/>
      <c r="I85" s="1062"/>
      <c r="J85" s="1305"/>
      <c r="K85" s="1305"/>
      <c r="L85" s="1305"/>
      <c r="M85" s="1305"/>
      <c r="N85" s="1305"/>
      <c r="O85" s="1305"/>
      <c r="P85" s="1305"/>
      <c r="Q85" s="1305"/>
      <c r="R85" s="1305"/>
      <c r="S85" s="1305"/>
      <c r="T85" s="1305"/>
      <c r="U85" s="1305"/>
      <c r="V85" s="1309"/>
      <c r="W85" s="1309"/>
      <c r="X85" s="1095"/>
      <c r="Y85" s="1095"/>
      <c r="Z85" s="1307"/>
      <c r="AA85" s="1308"/>
      <c r="AB85" s="993" t="s">
        <v>106</v>
      </c>
      <c r="AC85" s="993" t="s">
        <v>106</v>
      </c>
      <c r="AD85" s="1478">
        <v>0.99399999999999999</v>
      </c>
      <c r="AE85" s="1478">
        <v>0.96430000000000005</v>
      </c>
      <c r="AF85" s="1115">
        <f t="shared" ref="AF85:AF87" si="42">AVERAGE(AD85:AE85)</f>
        <v>0.97914999999999996</v>
      </c>
      <c r="AG85" s="1116">
        <f t="shared" ref="AG85:AG87" si="43">AE85-AD85</f>
        <v>-2.9699999999999949E-2</v>
      </c>
      <c r="AH85" s="781">
        <v>1</v>
      </c>
    </row>
    <row r="86" spans="2:39" ht="49.5" customHeight="1" thickBot="1" x14ac:dyDescent="0.25">
      <c r="B86" s="2436"/>
      <c r="C86" s="1415" t="s">
        <v>1055</v>
      </c>
      <c r="D86" s="1321"/>
      <c r="E86" s="1311"/>
      <c r="F86" s="1311"/>
      <c r="G86" s="1311"/>
      <c r="H86" s="1061"/>
      <c r="I86" s="1062"/>
      <c r="J86" s="1305"/>
      <c r="K86" s="1305"/>
      <c r="L86" s="1305"/>
      <c r="M86" s="1305"/>
      <c r="N86" s="1305"/>
      <c r="O86" s="1305"/>
      <c r="P86" s="1305"/>
      <c r="Q86" s="1305"/>
      <c r="R86" s="1305"/>
      <c r="S86" s="1305"/>
      <c r="T86" s="1305"/>
      <c r="U86" s="1305"/>
      <c r="V86" s="1309"/>
      <c r="W86" s="1309"/>
      <c r="X86" s="1095"/>
      <c r="Y86" s="1095"/>
      <c r="Z86" s="1307"/>
      <c r="AA86" s="1308"/>
      <c r="AB86" s="993" t="s">
        <v>106</v>
      </c>
      <c r="AC86" s="993" t="s">
        <v>106</v>
      </c>
      <c r="AD86" s="1479">
        <v>0.71899999999999997</v>
      </c>
      <c r="AE86" s="1478">
        <v>0.93689999999999996</v>
      </c>
      <c r="AF86" s="1115">
        <f t="shared" si="42"/>
        <v>0.82794999999999996</v>
      </c>
      <c r="AG86" s="1116">
        <f t="shared" si="43"/>
        <v>0.21789999999999998</v>
      </c>
      <c r="AH86" s="781">
        <v>1</v>
      </c>
    </row>
    <row r="87" spans="2:39" ht="49.5" customHeight="1" thickBot="1" x14ac:dyDescent="0.25">
      <c r="B87" s="2436"/>
      <c r="C87" s="1415" t="s">
        <v>1023</v>
      </c>
      <c r="D87" s="1321"/>
      <c r="E87" s="1311"/>
      <c r="F87" s="1311"/>
      <c r="G87" s="1311"/>
      <c r="H87" s="1061"/>
      <c r="I87" s="1062"/>
      <c r="J87" s="1305"/>
      <c r="K87" s="1305"/>
      <c r="L87" s="1305"/>
      <c r="M87" s="1305"/>
      <c r="N87" s="1305"/>
      <c r="O87" s="1305"/>
      <c r="P87" s="1305"/>
      <c r="Q87" s="1305"/>
      <c r="R87" s="1305"/>
      <c r="S87" s="1305"/>
      <c r="T87" s="1305"/>
      <c r="U87" s="1305"/>
      <c r="V87" s="1309"/>
      <c r="W87" s="1309"/>
      <c r="X87" s="1095"/>
      <c r="Y87" s="1095"/>
      <c r="Z87" s="1307"/>
      <c r="AA87" s="1308"/>
      <c r="AB87" s="993" t="s">
        <v>106</v>
      </c>
      <c r="AC87" s="993" t="s">
        <v>106</v>
      </c>
      <c r="AD87" s="1479">
        <v>0.97670000000000001</v>
      </c>
      <c r="AE87" s="1478">
        <v>0.92</v>
      </c>
      <c r="AF87" s="1115">
        <f t="shared" si="42"/>
        <v>0.94835000000000003</v>
      </c>
      <c r="AG87" s="1116">
        <f t="shared" si="43"/>
        <v>-5.6699999999999973E-2</v>
      </c>
      <c r="AH87" s="781">
        <v>1</v>
      </c>
    </row>
    <row r="88" spans="2:39" ht="42" customHeight="1" x14ac:dyDescent="0.2">
      <c r="B88" s="2436"/>
      <c r="C88" s="1415" t="s">
        <v>812</v>
      </c>
      <c r="D88" s="1321"/>
      <c r="E88" s="1311"/>
      <c r="F88" s="1311"/>
      <c r="G88" s="1311"/>
      <c r="H88" s="1061"/>
      <c r="I88" s="1062"/>
      <c r="J88" s="1305"/>
      <c r="K88" s="1305"/>
      <c r="L88" s="1305"/>
      <c r="M88" s="1305"/>
      <c r="N88" s="1305"/>
      <c r="O88" s="1305"/>
      <c r="P88" s="1305"/>
      <c r="Q88" s="1305"/>
      <c r="R88" s="1305"/>
      <c r="S88" s="1305"/>
      <c r="T88" s="1305"/>
      <c r="U88" s="1305"/>
      <c r="V88" s="1309"/>
      <c r="W88" s="1309"/>
      <c r="X88" s="1095"/>
      <c r="Y88" s="1095"/>
      <c r="Z88" s="2428" t="s">
        <v>106</v>
      </c>
      <c r="AA88" s="2429"/>
      <c r="AB88" s="2430">
        <v>0.60219999999999996</v>
      </c>
      <c r="AC88" s="2431"/>
      <c r="AD88" s="2312">
        <v>0.57999999999999996</v>
      </c>
      <c r="AE88" s="2313"/>
      <c r="AF88" s="1390">
        <f>AVERAGE(AB88:AE88)</f>
        <v>0.59109999999999996</v>
      </c>
      <c r="AG88" s="1422">
        <f>AD88-AB88</f>
        <v>-2.2199999999999998E-2</v>
      </c>
      <c r="AH88" s="781">
        <v>1</v>
      </c>
    </row>
    <row r="89" spans="2:39" ht="42" customHeight="1" x14ac:dyDescent="0.2">
      <c r="B89" s="2436"/>
      <c r="C89" s="1415" t="s">
        <v>814</v>
      </c>
      <c r="D89" s="1321"/>
      <c r="E89" s="1311"/>
      <c r="F89" s="1311"/>
      <c r="G89" s="1311"/>
      <c r="H89" s="1061"/>
      <c r="I89" s="1062"/>
      <c r="J89" s="1305"/>
      <c r="K89" s="1305"/>
      <c r="L89" s="1305"/>
      <c r="M89" s="1305"/>
      <c r="N89" s="1305"/>
      <c r="O89" s="1305"/>
      <c r="P89" s="1305"/>
      <c r="Q89" s="1305"/>
      <c r="R89" s="1305"/>
      <c r="S89" s="1305"/>
      <c r="T89" s="1305"/>
      <c r="U89" s="1305"/>
      <c r="V89" s="1309"/>
      <c r="W89" s="1309"/>
      <c r="X89" s="1095"/>
      <c r="Y89" s="1095"/>
      <c r="Z89" s="1095" t="s">
        <v>106</v>
      </c>
      <c r="AA89" s="1095" t="s">
        <v>106</v>
      </c>
      <c r="AB89" s="1480">
        <v>0.97</v>
      </c>
      <c r="AC89" s="1480">
        <v>0.98499999999999999</v>
      </c>
      <c r="AD89" s="1481">
        <v>0.92859999999999998</v>
      </c>
      <c r="AE89" s="1481">
        <v>1.375</v>
      </c>
      <c r="AF89" s="549">
        <f t="shared" ref="AF89:AF92" si="44">AVERAGE(AD89:AE89)</f>
        <v>1.1517999999999999</v>
      </c>
      <c r="AG89" s="984">
        <f t="shared" ref="AG89:AG92" si="45">AE89-AD89</f>
        <v>0.44640000000000002</v>
      </c>
      <c r="AH89" s="781">
        <v>1</v>
      </c>
    </row>
    <row r="90" spans="2:39" ht="42" customHeight="1" x14ac:dyDescent="0.2">
      <c r="B90" s="2436"/>
      <c r="C90" s="1415" t="s">
        <v>816</v>
      </c>
      <c r="D90" s="1321"/>
      <c r="E90" s="1311"/>
      <c r="F90" s="1311"/>
      <c r="G90" s="1311"/>
      <c r="H90" s="1061"/>
      <c r="I90" s="1062"/>
      <c r="J90" s="1305"/>
      <c r="K90" s="1305"/>
      <c r="L90" s="1305"/>
      <c r="M90" s="1305"/>
      <c r="N90" s="1305"/>
      <c r="O90" s="1305"/>
      <c r="P90" s="1305"/>
      <c r="Q90" s="1305"/>
      <c r="R90" s="1305"/>
      <c r="S90" s="1305"/>
      <c r="T90" s="1305"/>
      <c r="U90" s="1305"/>
      <c r="V90" s="1309"/>
      <c r="W90" s="1309"/>
      <c r="X90" s="1095"/>
      <c r="Y90" s="1095"/>
      <c r="Z90" s="1095" t="s">
        <v>106</v>
      </c>
      <c r="AA90" s="1095" t="s">
        <v>106</v>
      </c>
      <c r="AB90" s="1480">
        <v>1</v>
      </c>
      <c r="AC90" s="1480">
        <v>0</v>
      </c>
      <c r="AD90" s="1481">
        <v>1</v>
      </c>
      <c r="AE90" s="1481">
        <v>1</v>
      </c>
      <c r="AF90" s="549">
        <f t="shared" si="44"/>
        <v>1</v>
      </c>
      <c r="AG90" s="984">
        <f t="shared" si="45"/>
        <v>0</v>
      </c>
      <c r="AH90" s="781">
        <v>1</v>
      </c>
    </row>
    <row r="91" spans="2:39" ht="42" customHeight="1" x14ac:dyDescent="0.2">
      <c r="B91" s="2436"/>
      <c r="C91" s="1415" t="s">
        <v>819</v>
      </c>
      <c r="D91" s="1321"/>
      <c r="E91" s="1311"/>
      <c r="F91" s="1311"/>
      <c r="G91" s="1311"/>
      <c r="H91" s="1061"/>
      <c r="I91" s="1062"/>
      <c r="J91" s="1305"/>
      <c r="K91" s="1305"/>
      <c r="L91" s="1305"/>
      <c r="M91" s="1305"/>
      <c r="N91" s="1305"/>
      <c r="O91" s="1305"/>
      <c r="P91" s="1305"/>
      <c r="Q91" s="1305"/>
      <c r="R91" s="1305"/>
      <c r="S91" s="1305"/>
      <c r="T91" s="1305"/>
      <c r="U91" s="1305"/>
      <c r="V91" s="1309"/>
      <c r="W91" s="1309"/>
      <c r="X91" s="1095"/>
      <c r="Y91" s="1095"/>
      <c r="Z91" s="1095" t="s">
        <v>106</v>
      </c>
      <c r="AA91" s="1095" t="s">
        <v>106</v>
      </c>
      <c r="AB91" s="1480">
        <v>0.88460000000000005</v>
      </c>
      <c r="AC91" s="1480">
        <v>0.8901</v>
      </c>
      <c r="AD91" s="1481">
        <v>0.95099999999999996</v>
      </c>
      <c r="AE91" s="1481">
        <v>0.93689999999999996</v>
      </c>
      <c r="AF91" s="549">
        <f t="shared" si="44"/>
        <v>0.94394999999999996</v>
      </c>
      <c r="AG91" s="984">
        <f t="shared" si="45"/>
        <v>-1.4100000000000001E-2</v>
      </c>
      <c r="AH91" s="781">
        <v>1</v>
      </c>
    </row>
    <row r="92" spans="2:39" ht="42" customHeight="1" x14ac:dyDescent="0.2">
      <c r="B92" s="2437"/>
      <c r="C92" s="1415" t="s">
        <v>818</v>
      </c>
      <c r="D92" s="1321"/>
      <c r="E92" s="1311"/>
      <c r="F92" s="1311"/>
      <c r="G92" s="1311"/>
      <c r="H92" s="1061"/>
      <c r="I92" s="1062"/>
      <c r="J92" s="1305"/>
      <c r="K92" s="1305"/>
      <c r="L92" s="1305"/>
      <c r="M92" s="1305"/>
      <c r="N92" s="1305"/>
      <c r="O92" s="1305"/>
      <c r="P92" s="1305"/>
      <c r="Q92" s="1305"/>
      <c r="R92" s="1305"/>
      <c r="S92" s="1305"/>
      <c r="T92" s="1305"/>
      <c r="U92" s="1305"/>
      <c r="V92" s="1309"/>
      <c r="W92" s="1309"/>
      <c r="X92" s="1095"/>
      <c r="Y92" s="1095"/>
      <c r="Z92" s="1095" t="s">
        <v>106</v>
      </c>
      <c r="AA92" s="1095" t="s">
        <v>106</v>
      </c>
      <c r="AB92" s="1480">
        <v>0</v>
      </c>
      <c r="AC92" s="1480">
        <v>1</v>
      </c>
      <c r="AD92" s="1481">
        <v>1</v>
      </c>
      <c r="AE92" s="1481">
        <v>0.98629999999999995</v>
      </c>
      <c r="AF92" s="549">
        <f t="shared" si="44"/>
        <v>0.99314999999999998</v>
      </c>
      <c r="AG92" s="984">
        <f t="shared" si="45"/>
        <v>-1.3700000000000045E-2</v>
      </c>
      <c r="AH92" s="781">
        <v>1</v>
      </c>
      <c r="AJ92" s="1360">
        <f>67/71</f>
        <v>0.94366197183098588</v>
      </c>
    </row>
    <row r="93" spans="2:39" ht="32.25" customHeight="1" x14ac:dyDescent="0.2">
      <c r="B93" s="2432" t="s">
        <v>450</v>
      </c>
      <c r="C93" s="1482" t="s">
        <v>455</v>
      </c>
      <c r="D93" s="1321"/>
      <c r="E93" s="1311"/>
      <c r="F93" s="1311"/>
      <c r="G93" s="1311"/>
      <c r="H93" s="1061"/>
      <c r="I93" s="1062"/>
      <c r="J93" s="1305"/>
      <c r="K93" s="1305"/>
      <c r="L93" s="1305"/>
      <c r="M93" s="1305"/>
      <c r="N93" s="1305"/>
      <c r="O93" s="1305"/>
      <c r="P93" s="1305"/>
      <c r="Q93" s="1305"/>
      <c r="R93" s="2396"/>
      <c r="S93" s="2396"/>
      <c r="T93" s="2396">
        <v>0.06</v>
      </c>
      <c r="U93" s="2396"/>
      <c r="V93" s="2397">
        <v>0.124</v>
      </c>
      <c r="W93" s="2397"/>
      <c r="X93" s="2398">
        <v>0.47110000000000002</v>
      </c>
      <c r="Y93" s="2398"/>
      <c r="Z93" s="2398">
        <v>6.8999999999999999E-3</v>
      </c>
      <c r="AA93" s="2398"/>
      <c r="AB93" s="2399">
        <v>1.03E-2</v>
      </c>
      <c r="AC93" s="2399"/>
      <c r="AD93" s="2314">
        <v>5.1299999999999998E-2</v>
      </c>
      <c r="AE93" s="2314"/>
      <c r="AF93" s="1390">
        <f t="shared" ref="AF93:AF94" si="46">AVERAGE(AB93:AE93)</f>
        <v>3.0800000000000001E-2</v>
      </c>
      <c r="AG93" s="1422">
        <f t="shared" ref="AG93:AG94" si="47">AD93-AB93</f>
        <v>4.0999999999999995E-2</v>
      </c>
      <c r="AH93" s="781">
        <v>1</v>
      </c>
    </row>
    <row r="94" spans="2:39" ht="32.25" customHeight="1" thickBot="1" x14ac:dyDescent="0.25">
      <c r="B94" s="2433"/>
      <c r="C94" s="179" t="s">
        <v>573</v>
      </c>
      <c r="D94" s="1065"/>
      <c r="E94" s="1066"/>
      <c r="F94" s="1066"/>
      <c r="G94" s="1066"/>
      <c r="H94" s="1067"/>
      <c r="I94" s="1068"/>
      <c r="J94" s="1310"/>
      <c r="K94" s="1310"/>
      <c r="L94" s="1310"/>
      <c r="M94" s="1310"/>
      <c r="N94" s="1310"/>
      <c r="O94" s="1310"/>
      <c r="P94" s="1310"/>
      <c r="Q94" s="1310"/>
      <c r="R94" s="2434"/>
      <c r="S94" s="2434"/>
      <c r="T94" s="1310">
        <v>1.7999999999999999E-2</v>
      </c>
      <c r="U94" s="1310">
        <v>1.4999999999999999E-2</v>
      </c>
      <c r="V94" s="1069">
        <v>0.02</v>
      </c>
      <c r="W94" s="1069">
        <v>2.5999999999999999E-2</v>
      </c>
      <c r="X94" s="2398">
        <v>8.5099999999999995E-2</v>
      </c>
      <c r="Y94" s="2398"/>
      <c r="Z94" s="2398">
        <v>4.7000000000000002E-3</v>
      </c>
      <c r="AA94" s="2398"/>
      <c r="AB94" s="2399">
        <v>0.2</v>
      </c>
      <c r="AC94" s="2399"/>
      <c r="AD94" s="2314">
        <v>0.34510000000000002</v>
      </c>
      <c r="AE94" s="2314"/>
      <c r="AF94" s="1390">
        <f t="shared" si="46"/>
        <v>0.27255000000000001</v>
      </c>
      <c r="AG94" s="1422">
        <f t="shared" si="47"/>
        <v>0.14510000000000001</v>
      </c>
      <c r="AH94" s="781">
        <v>1</v>
      </c>
    </row>
    <row r="95" spans="2:39" ht="37.5" customHeight="1" thickBot="1" x14ac:dyDescent="0.3">
      <c r="B95" s="2452" t="s">
        <v>1332</v>
      </c>
      <c r="C95" s="2452"/>
      <c r="D95" s="1070"/>
      <c r="E95" s="1070"/>
      <c r="F95" s="1070"/>
      <c r="G95" s="1070"/>
      <c r="H95" s="1070"/>
      <c r="I95" s="1070"/>
      <c r="J95" s="1070"/>
      <c r="K95" s="1070"/>
      <c r="L95" s="1070"/>
      <c r="M95" s="1070"/>
      <c r="N95" s="1070"/>
      <c r="O95" s="1070"/>
      <c r="P95" s="1070"/>
      <c r="Q95" s="1070"/>
      <c r="R95" s="1071">
        <f>AVERAGE(R5,R70)</f>
        <v>0.92500000000000004</v>
      </c>
      <c r="S95" s="1071">
        <f>AVERAGE(S5,S70)</f>
        <v>0.94</v>
      </c>
      <c r="T95" s="1071">
        <f>AVERAGE(T5,T70)</f>
        <v>0.99</v>
      </c>
      <c r="U95" s="1071">
        <f>AVERAGE(U6,U9:U14,U18:U82,U84:U94)</f>
        <v>0.87169090909090918</v>
      </c>
      <c r="V95" s="1071">
        <v>0.76900000000000002</v>
      </c>
      <c r="W95" s="1071">
        <v>0.874</v>
      </c>
      <c r="X95" s="1096">
        <f>AVERAGE(X6:X10,X18:X21,X23,X30:X32,X47:X49,X55:X65,X69:X71,X84)</f>
        <v>0.888625</v>
      </c>
      <c r="Y95" s="1096">
        <f>AVERAGE(Y6:Y10,Y18:Y21,Y23,Y30:Y32,Y47:Y49,Y55:Y65,Y69:Y71,Y84)</f>
        <v>0.87922000000000011</v>
      </c>
      <c r="Z95" s="1096">
        <f>AVERAGE(Z6:Z10,Z18:Z21,Z23,Z30:Z32,Z47:Z49,Z55:Z65,Z69:Z71,Z84,Z81)</f>
        <v>0.86090952380952379</v>
      </c>
      <c r="AA95" s="1096">
        <f>AVERAGE(AA6:AA10,AA18:AA21,AA23,AA30:AA32,AA47:AA49,AA55:AA65,AA69:AA71,AA84,AA81)</f>
        <v>0.89347142857142869</v>
      </c>
      <c r="AB95" s="994">
        <f>AVERAGE(AB6:AB10,AB18:AB21,AB23,AB30:AB32,AB47:AB49,AB55:AB65,AB69:AB71,AB84,AB81,AB89:AB92)</f>
        <v>0.90001739130434777</v>
      </c>
      <c r="AC95" s="994">
        <f>AVERAGE(AC6:AC10,AC18:AC21,AC23,AC30:AC32,AC47:AC49,AC55:AC65,AC69:AC71,AC81,AC89,AC91:AC92,AB88,AB75:AC76,AB67,AB50:AC54,AB33:AC42,AB45:AC46,AB22,AB12)</f>
        <v>0.79383684210526317</v>
      </c>
      <c r="AD95" s="994">
        <f>AVERAGE(AD6:AD10,AD18:AD21,AD23,AD30:AD32,AD47:AD49,AD55:AD65,AD69:AD71,AD84,AD81,AD89:AD92)</f>
        <v>0.93569062499999989</v>
      </c>
      <c r="AE95" s="994">
        <f>AVERAGE(AE6:AE10,AE18:AE21,AE23,AE30:AE32,AE47:AE49,AE55:AE65,AE69:AE71,AE84,AE81,AE89:AE92,AE72:AE73,AE85:AE87,AD33:AE37)</f>
        <v>0.94826435897435912</v>
      </c>
      <c r="AF95" s="1485">
        <f>AVERAGE(AD95:AE95)</f>
        <v>0.9419774919871795</v>
      </c>
      <c r="AG95" s="995"/>
      <c r="AH95" s="996">
        <f>SUM(AH5:AH94)</f>
        <v>72</v>
      </c>
      <c r="AK95" s="2426" t="s">
        <v>596</v>
      </c>
      <c r="AL95" s="2294" t="s">
        <v>574</v>
      </c>
      <c r="AM95" s="2295"/>
    </row>
    <row r="96" spans="2:39" ht="21" thickBot="1" x14ac:dyDescent="0.25">
      <c r="AK96" s="2427"/>
      <c r="AL96" s="585" t="s">
        <v>590</v>
      </c>
      <c r="AM96" s="585" t="s">
        <v>141</v>
      </c>
    </row>
    <row r="97" spans="2:39" ht="32.25" customHeight="1" thickBot="1" x14ac:dyDescent="0.25">
      <c r="AF97" s="1684"/>
      <c r="AK97" s="1362" t="s">
        <v>591</v>
      </c>
      <c r="AL97" s="586">
        <v>67</v>
      </c>
      <c r="AM97" s="587">
        <f>AL97/$AL$101</f>
        <v>0.93055555555555558</v>
      </c>
    </row>
    <row r="98" spans="2:39" ht="29.25" thickBot="1" x14ac:dyDescent="0.25">
      <c r="AK98" s="997" t="s">
        <v>592</v>
      </c>
      <c r="AL98" s="586">
        <v>4</v>
      </c>
      <c r="AM98" s="587">
        <f>AL98/$AL$101</f>
        <v>5.5555555555555552E-2</v>
      </c>
    </row>
    <row r="99" spans="2:39" ht="21" thickBot="1" x14ac:dyDescent="0.25">
      <c r="AK99" s="1483" t="s">
        <v>593</v>
      </c>
      <c r="AL99" s="588">
        <v>0</v>
      </c>
      <c r="AM99" s="587">
        <f>AL99/$AL$101</f>
        <v>0</v>
      </c>
    </row>
    <row r="100" spans="2:39" ht="21" thickBot="1" x14ac:dyDescent="0.25">
      <c r="AK100" s="1484" t="s">
        <v>705</v>
      </c>
      <c r="AL100" s="589">
        <v>1</v>
      </c>
      <c r="AM100" s="587">
        <f>AL100/$AL$101</f>
        <v>1.3888888888888888E-2</v>
      </c>
    </row>
    <row r="101" spans="2:39" ht="21" thickBot="1" x14ac:dyDescent="0.25">
      <c r="AK101" s="590" t="s">
        <v>595</v>
      </c>
      <c r="AL101" s="591">
        <f>SUM(AL97:AL100)</f>
        <v>72</v>
      </c>
      <c r="AM101" s="592">
        <f>SUM(AM97:AM100)</f>
        <v>1</v>
      </c>
    </row>
    <row r="102" spans="2:39" ht="137.25" customHeight="1" thickBot="1" x14ac:dyDescent="0.25">
      <c r="B102" s="2438" t="s">
        <v>1329</v>
      </c>
      <c r="C102" s="2439"/>
      <c r="D102" s="2439"/>
      <c r="E102" s="2439"/>
      <c r="F102" s="2439"/>
      <c r="G102" s="2439"/>
      <c r="H102" s="2439"/>
      <c r="I102" s="2439"/>
      <c r="J102" s="2439"/>
      <c r="K102" s="2439"/>
      <c r="L102" s="2439"/>
      <c r="M102" s="2439"/>
      <c r="N102" s="2439"/>
      <c r="O102" s="2439"/>
      <c r="P102" s="2439"/>
      <c r="Q102" s="2439"/>
      <c r="R102" s="2439"/>
      <c r="S102" s="2439"/>
      <c r="T102" s="2439"/>
      <c r="U102" s="2439"/>
      <c r="V102" s="2439"/>
      <c r="W102" s="2439"/>
      <c r="X102" s="2439"/>
      <c r="Y102" s="2439"/>
      <c r="Z102" s="2439"/>
      <c r="AA102" s="2439"/>
      <c r="AB102" s="2439"/>
      <c r="AC102" s="2439"/>
      <c r="AD102" s="2439"/>
      <c r="AE102" s="2439"/>
      <c r="AF102" s="2439"/>
      <c r="AG102" s="2439"/>
      <c r="AH102" s="2439"/>
      <c r="AI102" s="2440"/>
    </row>
    <row r="103" spans="2:39" ht="336" customHeight="1" thickBot="1" x14ac:dyDescent="0.25">
      <c r="B103" s="2438" t="s">
        <v>1303</v>
      </c>
      <c r="C103" s="2439"/>
      <c r="D103" s="2439"/>
      <c r="E103" s="2439"/>
      <c r="F103" s="2439"/>
      <c r="G103" s="2439"/>
      <c r="H103" s="2439"/>
      <c r="I103" s="2439"/>
      <c r="J103" s="2439"/>
      <c r="K103" s="2439"/>
      <c r="L103" s="2439"/>
      <c r="M103" s="2439"/>
      <c r="N103" s="2439"/>
      <c r="O103" s="2439"/>
      <c r="P103" s="2439"/>
      <c r="Q103" s="2439"/>
      <c r="R103" s="2439"/>
      <c r="S103" s="2439"/>
      <c r="T103" s="2439"/>
      <c r="U103" s="2439"/>
      <c r="V103" s="2439"/>
      <c r="W103" s="2439"/>
      <c r="X103" s="2439"/>
      <c r="Y103" s="2439"/>
      <c r="Z103" s="2439"/>
      <c r="AA103" s="2439"/>
      <c r="AB103" s="2439"/>
      <c r="AC103" s="2439"/>
      <c r="AD103" s="2439"/>
      <c r="AE103" s="2439"/>
      <c r="AF103" s="2439"/>
      <c r="AG103" s="2439"/>
      <c r="AH103" s="2439"/>
      <c r="AI103" s="2440"/>
    </row>
    <row r="104" spans="2:39" ht="263.25" customHeight="1" thickBot="1" x14ac:dyDescent="0.25">
      <c r="B104" s="2438" t="s">
        <v>1304</v>
      </c>
      <c r="C104" s="2439"/>
      <c r="D104" s="2439"/>
      <c r="E104" s="2439"/>
      <c r="F104" s="2439"/>
      <c r="G104" s="2439"/>
      <c r="H104" s="2439"/>
      <c r="I104" s="2439"/>
      <c r="J104" s="2439"/>
      <c r="K104" s="2439"/>
      <c r="L104" s="2439"/>
      <c r="M104" s="2439"/>
      <c r="N104" s="2439"/>
      <c r="O104" s="2439"/>
      <c r="P104" s="2439"/>
      <c r="Q104" s="2439"/>
      <c r="R104" s="2439"/>
      <c r="S104" s="2439"/>
      <c r="T104" s="2439"/>
      <c r="U104" s="2439"/>
      <c r="V104" s="2439"/>
      <c r="W104" s="2439"/>
      <c r="X104" s="2439"/>
      <c r="Y104" s="2439"/>
      <c r="Z104" s="2439"/>
      <c r="AA104" s="2439"/>
      <c r="AB104" s="2439"/>
      <c r="AC104" s="2439"/>
      <c r="AD104" s="2439"/>
      <c r="AE104" s="2439"/>
      <c r="AF104" s="2439"/>
      <c r="AG104" s="2439"/>
      <c r="AH104" s="2439"/>
      <c r="AI104" s="2440"/>
    </row>
  </sheetData>
  <mergeCells count="298">
    <mergeCell ref="B18:B25"/>
    <mergeCell ref="X94:Y94"/>
    <mergeCell ref="Z94:AA94"/>
    <mergeCell ref="AB94:AC94"/>
    <mergeCell ref="B95:C95"/>
    <mergeCell ref="AB82:AC82"/>
    <mergeCell ref="R83:S83"/>
    <mergeCell ref="T83:U83"/>
    <mergeCell ref="B82:B83"/>
    <mergeCell ref="R82:S82"/>
    <mergeCell ref="T82:U82"/>
    <mergeCell ref="V82:W82"/>
    <mergeCell ref="X82:Y82"/>
    <mergeCell ref="Z82:AA82"/>
    <mergeCell ref="Z75:AA75"/>
    <mergeCell ref="AB75:AC75"/>
    <mergeCell ref="R76:S76"/>
    <mergeCell ref="B30:B40"/>
    <mergeCell ref="AB38:AC38"/>
    <mergeCell ref="AB39:AC39"/>
    <mergeCell ref="AB40:AC40"/>
    <mergeCell ref="Z76:AA76"/>
    <mergeCell ref="AB76:AC76"/>
    <mergeCell ref="T53:U53"/>
    <mergeCell ref="B102:AI102"/>
    <mergeCell ref="B103:AI103"/>
    <mergeCell ref="B104:AI104"/>
    <mergeCell ref="AH71:AH74"/>
    <mergeCell ref="AB78:AB79"/>
    <mergeCell ref="AC78:AC79"/>
    <mergeCell ref="B26:B29"/>
    <mergeCell ref="AD38:AE38"/>
    <mergeCell ref="AD39:AE39"/>
    <mergeCell ref="AD40:AE40"/>
    <mergeCell ref="Z67:AA67"/>
    <mergeCell ref="AB67:AC67"/>
    <mergeCell ref="R68:S68"/>
    <mergeCell ref="F70:G70"/>
    <mergeCell ref="J70:K70"/>
    <mergeCell ref="L70:M70"/>
    <mergeCell ref="N70:O70"/>
    <mergeCell ref="P70:Q70"/>
    <mergeCell ref="R70:S70"/>
    <mergeCell ref="T70:U70"/>
    <mergeCell ref="R67:S67"/>
    <mergeCell ref="T67:U67"/>
    <mergeCell ref="V67:W67"/>
    <mergeCell ref="X67:Y67"/>
    <mergeCell ref="AK95:AK96"/>
    <mergeCell ref="AL95:AM95"/>
    <mergeCell ref="Z88:AA88"/>
    <mergeCell ref="AB88:AC88"/>
    <mergeCell ref="B93:B94"/>
    <mergeCell ref="R93:S93"/>
    <mergeCell ref="T93:U93"/>
    <mergeCell ref="V93:W93"/>
    <mergeCell ref="X93:Y93"/>
    <mergeCell ref="Z93:AA93"/>
    <mergeCell ref="AB93:AC93"/>
    <mergeCell ref="R94:S94"/>
    <mergeCell ref="B84:B92"/>
    <mergeCell ref="F84:G84"/>
    <mergeCell ref="J84:K84"/>
    <mergeCell ref="L84:M84"/>
    <mergeCell ref="N84:O84"/>
    <mergeCell ref="P84:Q84"/>
    <mergeCell ref="R84:S84"/>
    <mergeCell ref="V53:W53"/>
    <mergeCell ref="X53:Y53"/>
    <mergeCell ref="B71:B81"/>
    <mergeCell ref="R71:S71"/>
    <mergeCell ref="R75:S75"/>
    <mergeCell ref="T75:U75"/>
    <mergeCell ref="V75:W75"/>
    <mergeCell ref="X75:Y75"/>
    <mergeCell ref="R77:S77"/>
    <mergeCell ref="B67:B68"/>
    <mergeCell ref="T76:U76"/>
    <mergeCell ref="V76:W76"/>
    <mergeCell ref="X76:Y76"/>
    <mergeCell ref="Z53:AA53"/>
    <mergeCell ref="AB53:AC53"/>
    <mergeCell ref="B53:B66"/>
    <mergeCell ref="H53:I53"/>
    <mergeCell ref="J53:K53"/>
    <mergeCell ref="L53:M53"/>
    <mergeCell ref="N53:O53"/>
    <mergeCell ref="P53:Q53"/>
    <mergeCell ref="H54:I54"/>
    <mergeCell ref="J54:K54"/>
    <mergeCell ref="L54:M54"/>
    <mergeCell ref="N54:O54"/>
    <mergeCell ref="AB54:AC54"/>
    <mergeCell ref="D65:E65"/>
    <mergeCell ref="F65:G65"/>
    <mergeCell ref="D66:E66"/>
    <mergeCell ref="F66:G66"/>
    <mergeCell ref="Z54:AA54"/>
    <mergeCell ref="P54:Q54"/>
    <mergeCell ref="R54:S54"/>
    <mergeCell ref="T54:U54"/>
    <mergeCell ref="V54:W54"/>
    <mergeCell ref="X54:Y54"/>
    <mergeCell ref="R53:S53"/>
    <mergeCell ref="AB46:AC46"/>
    <mergeCell ref="R47:S47"/>
    <mergeCell ref="B49:B52"/>
    <mergeCell ref="T50:U50"/>
    <mergeCell ref="V50:W50"/>
    <mergeCell ref="X50:Y50"/>
    <mergeCell ref="Z50:AA50"/>
    <mergeCell ref="AB50:AC50"/>
    <mergeCell ref="V45:W45"/>
    <mergeCell ref="X45:Y45"/>
    <mergeCell ref="Z45:AA45"/>
    <mergeCell ref="AB45:AC45"/>
    <mergeCell ref="P46:Q46"/>
    <mergeCell ref="R46:S46"/>
    <mergeCell ref="T46:U46"/>
    <mergeCell ref="V46:W46"/>
    <mergeCell ref="X46:Y46"/>
    <mergeCell ref="Z46:AA46"/>
    <mergeCell ref="B42:B48"/>
    <mergeCell ref="D44:E44"/>
    <mergeCell ref="F44:G44"/>
    <mergeCell ref="H44:I44"/>
    <mergeCell ref="J44:K44"/>
    <mergeCell ref="L44:M44"/>
    <mergeCell ref="N44:O44"/>
    <mergeCell ref="AB44:AC44"/>
    <mergeCell ref="D45:E45"/>
    <mergeCell ref="F45:G45"/>
    <mergeCell ref="H45:I45"/>
    <mergeCell ref="J45:K45"/>
    <mergeCell ref="L45:M45"/>
    <mergeCell ref="N45:O45"/>
    <mergeCell ref="P45:Q45"/>
    <mergeCell ref="R45:S45"/>
    <mergeCell ref="T45:U45"/>
    <mergeCell ref="P44:Q44"/>
    <mergeCell ref="R44:S44"/>
    <mergeCell ref="T44:U44"/>
    <mergeCell ref="V44:W44"/>
    <mergeCell ref="X44:Y44"/>
    <mergeCell ref="Z44:AA44"/>
    <mergeCell ref="R42:S42"/>
    <mergeCell ref="N43:O43"/>
    <mergeCell ref="P43:Q43"/>
    <mergeCell ref="R43:S43"/>
    <mergeCell ref="T43:U43"/>
    <mergeCell ref="V43:W43"/>
    <mergeCell ref="X43:Y43"/>
    <mergeCell ref="Z43:AA43"/>
    <mergeCell ref="AB43:AC43"/>
    <mergeCell ref="D43:E43"/>
    <mergeCell ref="F43:G43"/>
    <mergeCell ref="H43:I43"/>
    <mergeCell ref="J43:K43"/>
    <mergeCell ref="L43:M43"/>
    <mergeCell ref="J42:K42"/>
    <mergeCell ref="L42:M42"/>
    <mergeCell ref="N42:O42"/>
    <mergeCell ref="P42:Q42"/>
    <mergeCell ref="Z41:AA41"/>
    <mergeCell ref="AB41:AC41"/>
    <mergeCell ref="X36:Y36"/>
    <mergeCell ref="Z36:AA36"/>
    <mergeCell ref="AB36:AC36"/>
    <mergeCell ref="T42:U42"/>
    <mergeCell ref="V42:W42"/>
    <mergeCell ref="X42:Y42"/>
    <mergeCell ref="Z42:AA42"/>
    <mergeCell ref="AB42:AC42"/>
    <mergeCell ref="X33:Y33"/>
    <mergeCell ref="Z33:AA33"/>
    <mergeCell ref="AB33:AC33"/>
    <mergeCell ref="V34:W34"/>
    <mergeCell ref="X34:Y34"/>
    <mergeCell ref="Z34:AA34"/>
    <mergeCell ref="AB34:AC34"/>
    <mergeCell ref="V36:W36"/>
    <mergeCell ref="D37:E37"/>
    <mergeCell ref="H37:I37"/>
    <mergeCell ref="J37:K37"/>
    <mergeCell ref="L37:M37"/>
    <mergeCell ref="N37:O37"/>
    <mergeCell ref="P37:Q37"/>
    <mergeCell ref="R37:S37"/>
    <mergeCell ref="V33:W33"/>
    <mergeCell ref="T37:U37"/>
    <mergeCell ref="V37:W37"/>
    <mergeCell ref="X37:Y37"/>
    <mergeCell ref="Z37:AA37"/>
    <mergeCell ref="AB37:AC37"/>
    <mergeCell ref="Z22:AA22"/>
    <mergeCell ref="AB22:AC22"/>
    <mergeCell ref="P24:Q24"/>
    <mergeCell ref="R24:S24"/>
    <mergeCell ref="T24:U24"/>
    <mergeCell ref="V24:W24"/>
    <mergeCell ref="X24:Y24"/>
    <mergeCell ref="Z24:AA24"/>
    <mergeCell ref="AB24:AC24"/>
    <mergeCell ref="P22:Q22"/>
    <mergeCell ref="R22:S22"/>
    <mergeCell ref="T22:U22"/>
    <mergeCell ref="V22:W22"/>
    <mergeCell ref="X22:Y22"/>
    <mergeCell ref="Z16:AA16"/>
    <mergeCell ref="AB16:AC16"/>
    <mergeCell ref="D17:E17"/>
    <mergeCell ref="F17:G17"/>
    <mergeCell ref="H17:I17"/>
    <mergeCell ref="J17:K17"/>
    <mergeCell ref="L17:M17"/>
    <mergeCell ref="N17:O17"/>
    <mergeCell ref="N16:O16"/>
    <mergeCell ref="P16:Q16"/>
    <mergeCell ref="R16:S16"/>
    <mergeCell ref="T16:U16"/>
    <mergeCell ref="V16:W16"/>
    <mergeCell ref="X16:Y16"/>
    <mergeCell ref="V14:W14"/>
    <mergeCell ref="X14:Y14"/>
    <mergeCell ref="Z14:AA14"/>
    <mergeCell ref="AB14:AC14"/>
    <mergeCell ref="P15:Q15"/>
    <mergeCell ref="R15:S15"/>
    <mergeCell ref="T15:U15"/>
    <mergeCell ref="V15:W15"/>
    <mergeCell ref="X15:Y15"/>
    <mergeCell ref="Z15:AA15"/>
    <mergeCell ref="AB15:AC15"/>
    <mergeCell ref="R11:S11"/>
    <mergeCell ref="T11:U11"/>
    <mergeCell ref="V11:W11"/>
    <mergeCell ref="X11:Y11"/>
    <mergeCell ref="Z11:AA11"/>
    <mergeCell ref="AB11:AC11"/>
    <mergeCell ref="AF3:AF4"/>
    <mergeCell ref="AG3:AG4"/>
    <mergeCell ref="B8:B14"/>
    <mergeCell ref="D11:E11"/>
    <mergeCell ref="F11:G11"/>
    <mergeCell ref="H11:I11"/>
    <mergeCell ref="J11:K11"/>
    <mergeCell ref="L11:M11"/>
    <mergeCell ref="N11:O11"/>
    <mergeCell ref="P11:Q11"/>
    <mergeCell ref="Z12:AA12"/>
    <mergeCell ref="AB12:AC12"/>
    <mergeCell ref="J14:K14"/>
    <mergeCell ref="L14:M14"/>
    <mergeCell ref="N14:O14"/>
    <mergeCell ref="P14:Q14"/>
    <mergeCell ref="R14:S14"/>
    <mergeCell ref="T14:U14"/>
    <mergeCell ref="B2:AG2"/>
    <mergeCell ref="B3:B4"/>
    <mergeCell ref="C3:C4"/>
    <mergeCell ref="D3:O3"/>
    <mergeCell ref="P3:Q3"/>
    <mergeCell ref="R3:U3"/>
    <mergeCell ref="V3:W3"/>
    <mergeCell ref="X3:Y3"/>
    <mergeCell ref="Z3:AA3"/>
    <mergeCell ref="AB3:AC3"/>
    <mergeCell ref="AD3:AE3"/>
    <mergeCell ref="AD11:AE11"/>
    <mergeCell ref="AD12:AE12"/>
    <mergeCell ref="AD14:AE14"/>
    <mergeCell ref="AD15:AE15"/>
    <mergeCell ref="AD16:AE16"/>
    <mergeCell ref="AD22:AE22"/>
    <mergeCell ref="AD24:AE24"/>
    <mergeCell ref="AD33:AE33"/>
    <mergeCell ref="AD34:AE34"/>
    <mergeCell ref="AD13:AE13"/>
    <mergeCell ref="AD36:AE36"/>
    <mergeCell ref="AD37:AE37"/>
    <mergeCell ref="AD41:AE41"/>
    <mergeCell ref="AD42:AE42"/>
    <mergeCell ref="AD43:AE43"/>
    <mergeCell ref="AD44:AE44"/>
    <mergeCell ref="AD45:AE45"/>
    <mergeCell ref="AD46:AE46"/>
    <mergeCell ref="AD50:AE50"/>
    <mergeCell ref="AD53:AE53"/>
    <mergeCell ref="AD54:AE54"/>
    <mergeCell ref="AD67:AE67"/>
    <mergeCell ref="AD75:AE75"/>
    <mergeCell ref="AD76:AE76"/>
    <mergeCell ref="AD82:AE82"/>
    <mergeCell ref="AD88:AE88"/>
    <mergeCell ref="AD93:AE93"/>
    <mergeCell ref="AD94:AE94"/>
    <mergeCell ref="AD59:AE59"/>
    <mergeCell ref="AD64:AE64"/>
  </mergeCells>
  <pageMargins left="0.28000000000000003" right="0.36" top="0.38" bottom="1" header="0" footer="0"/>
  <pageSetup paperSize="119"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38"/>
  </sheetPr>
  <dimension ref="A1:U58"/>
  <sheetViews>
    <sheetView zoomScale="80" workbookViewId="0">
      <selection activeCell="B6" sqref="B6"/>
    </sheetView>
  </sheetViews>
  <sheetFormatPr baseColWidth="10" defaultRowHeight="12.75" x14ac:dyDescent="0.2"/>
  <cols>
    <col min="1" max="1" width="16.28515625" style="43" customWidth="1"/>
    <col min="2" max="2" width="44.5703125" style="43" customWidth="1"/>
    <col min="3" max="3" width="17.85546875" style="43" customWidth="1"/>
    <col min="4" max="4" width="17.42578125" style="43" bestFit="1" customWidth="1"/>
    <col min="5" max="5" width="26.5703125" style="43" customWidth="1"/>
    <col min="6" max="253" width="11.42578125" style="43"/>
    <col min="254" max="254" width="16.28515625" style="43" customWidth="1"/>
    <col min="255" max="255" width="44.5703125" style="43" customWidth="1"/>
    <col min="256" max="256" width="0" style="43" hidden="1" customWidth="1"/>
    <col min="257" max="257" width="17.85546875" style="43" customWidth="1"/>
    <col min="258" max="258" width="0" style="43" hidden="1" customWidth="1"/>
    <col min="259" max="259" width="17.85546875" style="43" customWidth="1"/>
    <col min="260" max="260" width="14.42578125" style="43" bestFit="1" customWidth="1"/>
    <col min="261" max="509" width="11.42578125" style="43"/>
    <col min="510" max="510" width="16.28515625" style="43" customWidth="1"/>
    <col min="511" max="511" width="44.5703125" style="43" customWidth="1"/>
    <col min="512" max="512" width="0" style="43" hidden="1" customWidth="1"/>
    <col min="513" max="513" width="17.85546875" style="43" customWidth="1"/>
    <col min="514" max="514" width="0" style="43" hidden="1" customWidth="1"/>
    <col min="515" max="515" width="17.85546875" style="43" customWidth="1"/>
    <col min="516" max="516" width="14.42578125" style="43" bestFit="1" customWidth="1"/>
    <col min="517" max="765" width="11.42578125" style="43"/>
    <col min="766" max="766" width="16.28515625" style="43" customWidth="1"/>
    <col min="767" max="767" width="44.5703125" style="43" customWidth="1"/>
    <col min="768" max="768" width="0" style="43" hidden="1" customWidth="1"/>
    <col min="769" max="769" width="17.85546875" style="43" customWidth="1"/>
    <col min="770" max="770" width="0" style="43" hidden="1" customWidth="1"/>
    <col min="771" max="771" width="17.85546875" style="43" customWidth="1"/>
    <col min="772" max="772" width="14.42578125" style="43" bestFit="1" customWidth="1"/>
    <col min="773" max="1021" width="11.42578125" style="43"/>
    <col min="1022" max="1022" width="16.28515625" style="43" customWidth="1"/>
    <col min="1023" max="1023" width="44.5703125" style="43" customWidth="1"/>
    <col min="1024" max="1024" width="0" style="43" hidden="1" customWidth="1"/>
    <col min="1025" max="1025" width="17.85546875" style="43" customWidth="1"/>
    <col min="1026" max="1026" width="0" style="43" hidden="1" customWidth="1"/>
    <col min="1027" max="1027" width="17.85546875" style="43" customWidth="1"/>
    <col min="1028" max="1028" width="14.42578125" style="43" bestFit="1" customWidth="1"/>
    <col min="1029" max="1277" width="11.42578125" style="43"/>
    <col min="1278" max="1278" width="16.28515625" style="43" customWidth="1"/>
    <col min="1279" max="1279" width="44.5703125" style="43" customWidth="1"/>
    <col min="1280" max="1280" width="0" style="43" hidden="1" customWidth="1"/>
    <col min="1281" max="1281" width="17.85546875" style="43" customWidth="1"/>
    <col min="1282" max="1282" width="0" style="43" hidden="1" customWidth="1"/>
    <col min="1283" max="1283" width="17.85546875" style="43" customWidth="1"/>
    <col min="1284" max="1284" width="14.42578125" style="43" bestFit="1" customWidth="1"/>
    <col min="1285" max="1533" width="11.42578125" style="43"/>
    <col min="1534" max="1534" width="16.28515625" style="43" customWidth="1"/>
    <col min="1535" max="1535" width="44.5703125" style="43" customWidth="1"/>
    <col min="1536" max="1536" width="0" style="43" hidden="1" customWidth="1"/>
    <col min="1537" max="1537" width="17.85546875" style="43" customWidth="1"/>
    <col min="1538" max="1538" width="0" style="43" hidden="1" customWidth="1"/>
    <col min="1539" max="1539" width="17.85546875" style="43" customWidth="1"/>
    <col min="1540" max="1540" width="14.42578125" style="43" bestFit="1" customWidth="1"/>
    <col min="1541" max="1789" width="11.42578125" style="43"/>
    <col min="1790" max="1790" width="16.28515625" style="43" customWidth="1"/>
    <col min="1791" max="1791" width="44.5703125" style="43" customWidth="1"/>
    <col min="1792" max="1792" width="0" style="43" hidden="1" customWidth="1"/>
    <col min="1793" max="1793" width="17.85546875" style="43" customWidth="1"/>
    <col min="1794" max="1794" width="0" style="43" hidden="1" customWidth="1"/>
    <col min="1795" max="1795" width="17.85546875" style="43" customWidth="1"/>
    <col min="1796" max="1796" width="14.42578125" style="43" bestFit="1" customWidth="1"/>
    <col min="1797" max="2045" width="11.42578125" style="43"/>
    <col min="2046" max="2046" width="16.28515625" style="43" customWidth="1"/>
    <col min="2047" max="2047" width="44.5703125" style="43" customWidth="1"/>
    <col min="2048" max="2048" width="0" style="43" hidden="1" customWidth="1"/>
    <col min="2049" max="2049" width="17.85546875" style="43" customWidth="1"/>
    <col min="2050" max="2050" width="0" style="43" hidden="1" customWidth="1"/>
    <col min="2051" max="2051" width="17.85546875" style="43" customWidth="1"/>
    <col min="2052" max="2052" width="14.42578125" style="43" bestFit="1" customWidth="1"/>
    <col min="2053" max="2301" width="11.42578125" style="43"/>
    <col min="2302" max="2302" width="16.28515625" style="43" customWidth="1"/>
    <col min="2303" max="2303" width="44.5703125" style="43" customWidth="1"/>
    <col min="2304" max="2304" width="0" style="43" hidden="1" customWidth="1"/>
    <col min="2305" max="2305" width="17.85546875" style="43" customWidth="1"/>
    <col min="2306" max="2306" width="0" style="43" hidden="1" customWidth="1"/>
    <col min="2307" max="2307" width="17.85546875" style="43" customWidth="1"/>
    <col min="2308" max="2308" width="14.42578125" style="43" bestFit="1" customWidth="1"/>
    <col min="2309" max="2557" width="11.42578125" style="43"/>
    <col min="2558" max="2558" width="16.28515625" style="43" customWidth="1"/>
    <col min="2559" max="2559" width="44.5703125" style="43" customWidth="1"/>
    <col min="2560" max="2560" width="0" style="43" hidden="1" customWidth="1"/>
    <col min="2561" max="2561" width="17.85546875" style="43" customWidth="1"/>
    <col min="2562" max="2562" width="0" style="43" hidden="1" customWidth="1"/>
    <col min="2563" max="2563" width="17.85546875" style="43" customWidth="1"/>
    <col min="2564" max="2564" width="14.42578125" style="43" bestFit="1" customWidth="1"/>
    <col min="2565" max="2813" width="11.42578125" style="43"/>
    <col min="2814" max="2814" width="16.28515625" style="43" customWidth="1"/>
    <col min="2815" max="2815" width="44.5703125" style="43" customWidth="1"/>
    <col min="2816" max="2816" width="0" style="43" hidden="1" customWidth="1"/>
    <col min="2817" max="2817" width="17.85546875" style="43" customWidth="1"/>
    <col min="2818" max="2818" width="0" style="43" hidden="1" customWidth="1"/>
    <col min="2819" max="2819" width="17.85546875" style="43" customWidth="1"/>
    <col min="2820" max="2820" width="14.42578125" style="43" bestFit="1" customWidth="1"/>
    <col min="2821" max="3069" width="11.42578125" style="43"/>
    <col min="3070" max="3070" width="16.28515625" style="43" customWidth="1"/>
    <col min="3071" max="3071" width="44.5703125" style="43" customWidth="1"/>
    <col min="3072" max="3072" width="0" style="43" hidden="1" customWidth="1"/>
    <col min="3073" max="3073" width="17.85546875" style="43" customWidth="1"/>
    <col min="3074" max="3074" width="0" style="43" hidden="1" customWidth="1"/>
    <col min="3075" max="3075" width="17.85546875" style="43" customWidth="1"/>
    <col min="3076" max="3076" width="14.42578125" style="43" bestFit="1" customWidth="1"/>
    <col min="3077" max="3325" width="11.42578125" style="43"/>
    <col min="3326" max="3326" width="16.28515625" style="43" customWidth="1"/>
    <col min="3327" max="3327" width="44.5703125" style="43" customWidth="1"/>
    <col min="3328" max="3328" width="0" style="43" hidden="1" customWidth="1"/>
    <col min="3329" max="3329" width="17.85546875" style="43" customWidth="1"/>
    <col min="3330" max="3330" width="0" style="43" hidden="1" customWidth="1"/>
    <col min="3331" max="3331" width="17.85546875" style="43" customWidth="1"/>
    <col min="3332" max="3332" width="14.42578125" style="43" bestFit="1" customWidth="1"/>
    <col min="3333" max="3581" width="11.42578125" style="43"/>
    <col min="3582" max="3582" width="16.28515625" style="43" customWidth="1"/>
    <col min="3583" max="3583" width="44.5703125" style="43" customWidth="1"/>
    <col min="3584" max="3584" width="0" style="43" hidden="1" customWidth="1"/>
    <col min="3585" max="3585" width="17.85546875" style="43" customWidth="1"/>
    <col min="3586" max="3586" width="0" style="43" hidden="1" customWidth="1"/>
    <col min="3587" max="3587" width="17.85546875" style="43" customWidth="1"/>
    <col min="3588" max="3588" width="14.42578125" style="43" bestFit="1" customWidth="1"/>
    <col min="3589" max="3837" width="11.42578125" style="43"/>
    <col min="3838" max="3838" width="16.28515625" style="43" customWidth="1"/>
    <col min="3839" max="3839" width="44.5703125" style="43" customWidth="1"/>
    <col min="3840" max="3840" width="0" style="43" hidden="1" customWidth="1"/>
    <col min="3841" max="3841" width="17.85546875" style="43" customWidth="1"/>
    <col min="3842" max="3842" width="0" style="43" hidden="1" customWidth="1"/>
    <col min="3843" max="3843" width="17.85546875" style="43" customWidth="1"/>
    <col min="3844" max="3844" width="14.42578125" style="43" bestFit="1" customWidth="1"/>
    <col min="3845" max="4093" width="11.42578125" style="43"/>
    <col min="4094" max="4094" width="16.28515625" style="43" customWidth="1"/>
    <col min="4095" max="4095" width="44.5703125" style="43" customWidth="1"/>
    <col min="4096" max="4096" width="0" style="43" hidden="1" customWidth="1"/>
    <col min="4097" max="4097" width="17.85546875" style="43" customWidth="1"/>
    <col min="4098" max="4098" width="0" style="43" hidden="1" customWidth="1"/>
    <col min="4099" max="4099" width="17.85546875" style="43" customWidth="1"/>
    <col min="4100" max="4100" width="14.42578125" style="43" bestFit="1" customWidth="1"/>
    <col min="4101" max="4349" width="11.42578125" style="43"/>
    <col min="4350" max="4350" width="16.28515625" style="43" customWidth="1"/>
    <col min="4351" max="4351" width="44.5703125" style="43" customWidth="1"/>
    <col min="4352" max="4352" width="0" style="43" hidden="1" customWidth="1"/>
    <col min="4353" max="4353" width="17.85546875" style="43" customWidth="1"/>
    <col min="4354" max="4354" width="0" style="43" hidden="1" customWidth="1"/>
    <col min="4355" max="4355" width="17.85546875" style="43" customWidth="1"/>
    <col min="4356" max="4356" width="14.42578125" style="43" bestFit="1" customWidth="1"/>
    <col min="4357" max="4605" width="11.42578125" style="43"/>
    <col min="4606" max="4606" width="16.28515625" style="43" customWidth="1"/>
    <col min="4607" max="4607" width="44.5703125" style="43" customWidth="1"/>
    <col min="4608" max="4608" width="0" style="43" hidden="1" customWidth="1"/>
    <col min="4609" max="4609" width="17.85546875" style="43" customWidth="1"/>
    <col min="4610" max="4610" width="0" style="43" hidden="1" customWidth="1"/>
    <col min="4611" max="4611" width="17.85546875" style="43" customWidth="1"/>
    <col min="4612" max="4612" width="14.42578125" style="43" bestFit="1" customWidth="1"/>
    <col min="4613" max="4861" width="11.42578125" style="43"/>
    <col min="4862" max="4862" width="16.28515625" style="43" customWidth="1"/>
    <col min="4863" max="4863" width="44.5703125" style="43" customWidth="1"/>
    <col min="4864" max="4864" width="0" style="43" hidden="1" customWidth="1"/>
    <col min="4865" max="4865" width="17.85546875" style="43" customWidth="1"/>
    <col min="4866" max="4866" width="0" style="43" hidden="1" customWidth="1"/>
    <col min="4867" max="4867" width="17.85546875" style="43" customWidth="1"/>
    <col min="4868" max="4868" width="14.42578125" style="43" bestFit="1" customWidth="1"/>
    <col min="4869" max="5117" width="11.42578125" style="43"/>
    <col min="5118" max="5118" width="16.28515625" style="43" customWidth="1"/>
    <col min="5119" max="5119" width="44.5703125" style="43" customWidth="1"/>
    <col min="5120" max="5120" width="0" style="43" hidden="1" customWidth="1"/>
    <col min="5121" max="5121" width="17.85546875" style="43" customWidth="1"/>
    <col min="5122" max="5122" width="0" style="43" hidden="1" customWidth="1"/>
    <col min="5123" max="5123" width="17.85546875" style="43" customWidth="1"/>
    <col min="5124" max="5124" width="14.42578125" style="43" bestFit="1" customWidth="1"/>
    <col min="5125" max="5373" width="11.42578125" style="43"/>
    <col min="5374" max="5374" width="16.28515625" style="43" customWidth="1"/>
    <col min="5375" max="5375" width="44.5703125" style="43" customWidth="1"/>
    <col min="5376" max="5376" width="0" style="43" hidden="1" customWidth="1"/>
    <col min="5377" max="5377" width="17.85546875" style="43" customWidth="1"/>
    <col min="5378" max="5378" width="0" style="43" hidden="1" customWidth="1"/>
    <col min="5379" max="5379" width="17.85546875" style="43" customWidth="1"/>
    <col min="5380" max="5380" width="14.42578125" style="43" bestFit="1" customWidth="1"/>
    <col min="5381" max="5629" width="11.42578125" style="43"/>
    <col min="5630" max="5630" width="16.28515625" style="43" customWidth="1"/>
    <col min="5631" max="5631" width="44.5703125" style="43" customWidth="1"/>
    <col min="5632" max="5632" width="0" style="43" hidden="1" customWidth="1"/>
    <col min="5633" max="5633" width="17.85546875" style="43" customWidth="1"/>
    <col min="5634" max="5634" width="0" style="43" hidden="1" customWidth="1"/>
    <col min="5635" max="5635" width="17.85546875" style="43" customWidth="1"/>
    <col min="5636" max="5636" width="14.42578125" style="43" bestFit="1" customWidth="1"/>
    <col min="5637" max="5885" width="11.42578125" style="43"/>
    <col min="5886" max="5886" width="16.28515625" style="43" customWidth="1"/>
    <col min="5887" max="5887" width="44.5703125" style="43" customWidth="1"/>
    <col min="5888" max="5888" width="0" style="43" hidden="1" customWidth="1"/>
    <col min="5889" max="5889" width="17.85546875" style="43" customWidth="1"/>
    <col min="5890" max="5890" width="0" style="43" hidden="1" customWidth="1"/>
    <col min="5891" max="5891" width="17.85546875" style="43" customWidth="1"/>
    <col min="5892" max="5892" width="14.42578125" style="43" bestFit="1" customWidth="1"/>
    <col min="5893" max="6141" width="11.42578125" style="43"/>
    <col min="6142" max="6142" width="16.28515625" style="43" customWidth="1"/>
    <col min="6143" max="6143" width="44.5703125" style="43" customWidth="1"/>
    <col min="6144" max="6144" width="0" style="43" hidden="1" customWidth="1"/>
    <col min="6145" max="6145" width="17.85546875" style="43" customWidth="1"/>
    <col min="6146" max="6146" width="0" style="43" hidden="1" customWidth="1"/>
    <col min="6147" max="6147" width="17.85546875" style="43" customWidth="1"/>
    <col min="6148" max="6148" width="14.42578125" style="43" bestFit="1" customWidth="1"/>
    <col min="6149" max="6397" width="11.42578125" style="43"/>
    <col min="6398" max="6398" width="16.28515625" style="43" customWidth="1"/>
    <col min="6399" max="6399" width="44.5703125" style="43" customWidth="1"/>
    <col min="6400" max="6400" width="0" style="43" hidden="1" customWidth="1"/>
    <col min="6401" max="6401" width="17.85546875" style="43" customWidth="1"/>
    <col min="6402" max="6402" width="0" style="43" hidden="1" customWidth="1"/>
    <col min="6403" max="6403" width="17.85546875" style="43" customWidth="1"/>
    <col min="6404" max="6404" width="14.42578125" style="43" bestFit="1" customWidth="1"/>
    <col min="6405" max="6653" width="11.42578125" style="43"/>
    <col min="6654" max="6654" width="16.28515625" style="43" customWidth="1"/>
    <col min="6655" max="6655" width="44.5703125" style="43" customWidth="1"/>
    <col min="6656" max="6656" width="0" style="43" hidden="1" customWidth="1"/>
    <col min="6657" max="6657" width="17.85546875" style="43" customWidth="1"/>
    <col min="6658" max="6658" width="0" style="43" hidden="1" customWidth="1"/>
    <col min="6659" max="6659" width="17.85546875" style="43" customWidth="1"/>
    <col min="6660" max="6660" width="14.42578125" style="43" bestFit="1" customWidth="1"/>
    <col min="6661" max="6909" width="11.42578125" style="43"/>
    <col min="6910" max="6910" width="16.28515625" style="43" customWidth="1"/>
    <col min="6911" max="6911" width="44.5703125" style="43" customWidth="1"/>
    <col min="6912" max="6912" width="0" style="43" hidden="1" customWidth="1"/>
    <col min="6913" max="6913" width="17.85546875" style="43" customWidth="1"/>
    <col min="6914" max="6914" width="0" style="43" hidden="1" customWidth="1"/>
    <col min="6915" max="6915" width="17.85546875" style="43" customWidth="1"/>
    <col min="6916" max="6916" width="14.42578125" style="43" bestFit="1" customWidth="1"/>
    <col min="6917" max="7165" width="11.42578125" style="43"/>
    <col min="7166" max="7166" width="16.28515625" style="43" customWidth="1"/>
    <col min="7167" max="7167" width="44.5703125" style="43" customWidth="1"/>
    <col min="7168" max="7168" width="0" style="43" hidden="1" customWidth="1"/>
    <col min="7169" max="7169" width="17.85546875" style="43" customWidth="1"/>
    <col min="7170" max="7170" width="0" style="43" hidden="1" customWidth="1"/>
    <col min="7171" max="7171" width="17.85546875" style="43" customWidth="1"/>
    <col min="7172" max="7172" width="14.42578125" style="43" bestFit="1" customWidth="1"/>
    <col min="7173" max="7421" width="11.42578125" style="43"/>
    <col min="7422" max="7422" width="16.28515625" style="43" customWidth="1"/>
    <col min="7423" max="7423" width="44.5703125" style="43" customWidth="1"/>
    <col min="7424" max="7424" width="0" style="43" hidden="1" customWidth="1"/>
    <col min="7425" max="7425" width="17.85546875" style="43" customWidth="1"/>
    <col min="7426" max="7426" width="0" style="43" hidden="1" customWidth="1"/>
    <col min="7427" max="7427" width="17.85546875" style="43" customWidth="1"/>
    <col min="7428" max="7428" width="14.42578125" style="43" bestFit="1" customWidth="1"/>
    <col min="7429" max="7677" width="11.42578125" style="43"/>
    <col min="7678" max="7678" width="16.28515625" style="43" customWidth="1"/>
    <col min="7679" max="7679" width="44.5703125" style="43" customWidth="1"/>
    <col min="7680" max="7680" width="0" style="43" hidden="1" customWidth="1"/>
    <col min="7681" max="7681" width="17.85546875" style="43" customWidth="1"/>
    <col min="7682" max="7682" width="0" style="43" hidden="1" customWidth="1"/>
    <col min="7683" max="7683" width="17.85546875" style="43" customWidth="1"/>
    <col min="7684" max="7684" width="14.42578125" style="43" bestFit="1" customWidth="1"/>
    <col min="7685" max="7933" width="11.42578125" style="43"/>
    <col min="7934" max="7934" width="16.28515625" style="43" customWidth="1"/>
    <col min="7935" max="7935" width="44.5703125" style="43" customWidth="1"/>
    <col min="7936" max="7936" width="0" style="43" hidden="1" customWidth="1"/>
    <col min="7937" max="7937" width="17.85546875" style="43" customWidth="1"/>
    <col min="7938" max="7938" width="0" style="43" hidden="1" customWidth="1"/>
    <col min="7939" max="7939" width="17.85546875" style="43" customWidth="1"/>
    <col min="7940" max="7940" width="14.42578125" style="43" bestFit="1" customWidth="1"/>
    <col min="7941" max="8189" width="11.42578125" style="43"/>
    <col min="8190" max="8190" width="16.28515625" style="43" customWidth="1"/>
    <col min="8191" max="8191" width="44.5703125" style="43" customWidth="1"/>
    <col min="8192" max="8192" width="0" style="43" hidden="1" customWidth="1"/>
    <col min="8193" max="8193" width="17.85546875" style="43" customWidth="1"/>
    <col min="8194" max="8194" width="0" style="43" hidden="1" customWidth="1"/>
    <col min="8195" max="8195" width="17.85546875" style="43" customWidth="1"/>
    <col min="8196" max="8196" width="14.42578125" style="43" bestFit="1" customWidth="1"/>
    <col min="8197" max="8445" width="11.42578125" style="43"/>
    <col min="8446" max="8446" width="16.28515625" style="43" customWidth="1"/>
    <col min="8447" max="8447" width="44.5703125" style="43" customWidth="1"/>
    <col min="8448" max="8448" width="0" style="43" hidden="1" customWidth="1"/>
    <col min="8449" max="8449" width="17.85546875" style="43" customWidth="1"/>
    <col min="8450" max="8450" width="0" style="43" hidden="1" customWidth="1"/>
    <col min="8451" max="8451" width="17.85546875" style="43" customWidth="1"/>
    <col min="8452" max="8452" width="14.42578125" style="43" bestFit="1" customWidth="1"/>
    <col min="8453" max="8701" width="11.42578125" style="43"/>
    <col min="8702" max="8702" width="16.28515625" style="43" customWidth="1"/>
    <col min="8703" max="8703" width="44.5703125" style="43" customWidth="1"/>
    <col min="8704" max="8704" width="0" style="43" hidden="1" customWidth="1"/>
    <col min="8705" max="8705" width="17.85546875" style="43" customWidth="1"/>
    <col min="8706" max="8706" width="0" style="43" hidden="1" customWidth="1"/>
    <col min="8707" max="8707" width="17.85546875" style="43" customWidth="1"/>
    <col min="8708" max="8708" width="14.42578125" style="43" bestFit="1" customWidth="1"/>
    <col min="8709" max="8957" width="11.42578125" style="43"/>
    <col min="8958" max="8958" width="16.28515625" style="43" customWidth="1"/>
    <col min="8959" max="8959" width="44.5703125" style="43" customWidth="1"/>
    <col min="8960" max="8960" width="0" style="43" hidden="1" customWidth="1"/>
    <col min="8961" max="8961" width="17.85546875" style="43" customWidth="1"/>
    <col min="8962" max="8962" width="0" style="43" hidden="1" customWidth="1"/>
    <col min="8963" max="8963" width="17.85546875" style="43" customWidth="1"/>
    <col min="8964" max="8964" width="14.42578125" style="43" bestFit="1" customWidth="1"/>
    <col min="8965" max="9213" width="11.42578125" style="43"/>
    <col min="9214" max="9214" width="16.28515625" style="43" customWidth="1"/>
    <col min="9215" max="9215" width="44.5703125" style="43" customWidth="1"/>
    <col min="9216" max="9216" width="0" style="43" hidden="1" customWidth="1"/>
    <col min="9217" max="9217" width="17.85546875" style="43" customWidth="1"/>
    <col min="9218" max="9218" width="0" style="43" hidden="1" customWidth="1"/>
    <col min="9219" max="9219" width="17.85546875" style="43" customWidth="1"/>
    <col min="9220" max="9220" width="14.42578125" style="43" bestFit="1" customWidth="1"/>
    <col min="9221" max="9469" width="11.42578125" style="43"/>
    <col min="9470" max="9470" width="16.28515625" style="43" customWidth="1"/>
    <col min="9471" max="9471" width="44.5703125" style="43" customWidth="1"/>
    <col min="9472" max="9472" width="0" style="43" hidden="1" customWidth="1"/>
    <col min="9473" max="9473" width="17.85546875" style="43" customWidth="1"/>
    <col min="9474" max="9474" width="0" style="43" hidden="1" customWidth="1"/>
    <col min="9475" max="9475" width="17.85546875" style="43" customWidth="1"/>
    <col min="9476" max="9476" width="14.42578125" style="43" bestFit="1" customWidth="1"/>
    <col min="9477" max="9725" width="11.42578125" style="43"/>
    <col min="9726" max="9726" width="16.28515625" style="43" customWidth="1"/>
    <col min="9727" max="9727" width="44.5703125" style="43" customWidth="1"/>
    <col min="9728" max="9728" width="0" style="43" hidden="1" customWidth="1"/>
    <col min="9729" max="9729" width="17.85546875" style="43" customWidth="1"/>
    <col min="9730" max="9730" width="0" style="43" hidden="1" customWidth="1"/>
    <col min="9731" max="9731" width="17.85546875" style="43" customWidth="1"/>
    <col min="9732" max="9732" width="14.42578125" style="43" bestFit="1" customWidth="1"/>
    <col min="9733" max="9981" width="11.42578125" style="43"/>
    <col min="9982" max="9982" width="16.28515625" style="43" customWidth="1"/>
    <col min="9983" max="9983" width="44.5703125" style="43" customWidth="1"/>
    <col min="9984" max="9984" width="0" style="43" hidden="1" customWidth="1"/>
    <col min="9985" max="9985" width="17.85546875" style="43" customWidth="1"/>
    <col min="9986" max="9986" width="0" style="43" hidden="1" customWidth="1"/>
    <col min="9987" max="9987" width="17.85546875" style="43" customWidth="1"/>
    <col min="9988" max="9988" width="14.42578125" style="43" bestFit="1" customWidth="1"/>
    <col min="9989" max="10237" width="11.42578125" style="43"/>
    <col min="10238" max="10238" width="16.28515625" style="43" customWidth="1"/>
    <col min="10239" max="10239" width="44.5703125" style="43" customWidth="1"/>
    <col min="10240" max="10240" width="0" style="43" hidden="1" customWidth="1"/>
    <col min="10241" max="10241" width="17.85546875" style="43" customWidth="1"/>
    <col min="10242" max="10242" width="0" style="43" hidden="1" customWidth="1"/>
    <col min="10243" max="10243" width="17.85546875" style="43" customWidth="1"/>
    <col min="10244" max="10244" width="14.42578125" style="43" bestFit="1" customWidth="1"/>
    <col min="10245" max="10493" width="11.42578125" style="43"/>
    <col min="10494" max="10494" width="16.28515625" style="43" customWidth="1"/>
    <col min="10495" max="10495" width="44.5703125" style="43" customWidth="1"/>
    <col min="10496" max="10496" width="0" style="43" hidden="1" customWidth="1"/>
    <col min="10497" max="10497" width="17.85546875" style="43" customWidth="1"/>
    <col min="10498" max="10498" width="0" style="43" hidden="1" customWidth="1"/>
    <col min="10499" max="10499" width="17.85546875" style="43" customWidth="1"/>
    <col min="10500" max="10500" width="14.42578125" style="43" bestFit="1" customWidth="1"/>
    <col min="10501" max="10749" width="11.42578125" style="43"/>
    <col min="10750" max="10750" width="16.28515625" style="43" customWidth="1"/>
    <col min="10751" max="10751" width="44.5703125" style="43" customWidth="1"/>
    <col min="10752" max="10752" width="0" style="43" hidden="1" customWidth="1"/>
    <col min="10753" max="10753" width="17.85546875" style="43" customWidth="1"/>
    <col min="10754" max="10754" width="0" style="43" hidden="1" customWidth="1"/>
    <col min="10755" max="10755" width="17.85546875" style="43" customWidth="1"/>
    <col min="10756" max="10756" width="14.42578125" style="43" bestFit="1" customWidth="1"/>
    <col min="10757" max="11005" width="11.42578125" style="43"/>
    <col min="11006" max="11006" width="16.28515625" style="43" customWidth="1"/>
    <col min="11007" max="11007" width="44.5703125" style="43" customWidth="1"/>
    <col min="11008" max="11008" width="0" style="43" hidden="1" customWidth="1"/>
    <col min="11009" max="11009" width="17.85546875" style="43" customWidth="1"/>
    <col min="11010" max="11010" width="0" style="43" hidden="1" customWidth="1"/>
    <col min="11011" max="11011" width="17.85546875" style="43" customWidth="1"/>
    <col min="11012" max="11012" width="14.42578125" style="43" bestFit="1" customWidth="1"/>
    <col min="11013" max="11261" width="11.42578125" style="43"/>
    <col min="11262" max="11262" width="16.28515625" style="43" customWidth="1"/>
    <col min="11263" max="11263" width="44.5703125" style="43" customWidth="1"/>
    <col min="11264" max="11264" width="0" style="43" hidden="1" customWidth="1"/>
    <col min="11265" max="11265" width="17.85546875" style="43" customWidth="1"/>
    <col min="11266" max="11266" width="0" style="43" hidden="1" customWidth="1"/>
    <col min="11267" max="11267" width="17.85546875" style="43" customWidth="1"/>
    <col min="11268" max="11268" width="14.42578125" style="43" bestFit="1" customWidth="1"/>
    <col min="11269" max="11517" width="11.42578125" style="43"/>
    <col min="11518" max="11518" width="16.28515625" style="43" customWidth="1"/>
    <col min="11519" max="11519" width="44.5703125" style="43" customWidth="1"/>
    <col min="11520" max="11520" width="0" style="43" hidden="1" customWidth="1"/>
    <col min="11521" max="11521" width="17.85546875" style="43" customWidth="1"/>
    <col min="11522" max="11522" width="0" style="43" hidden="1" customWidth="1"/>
    <col min="11523" max="11523" width="17.85546875" style="43" customWidth="1"/>
    <col min="11524" max="11524" width="14.42578125" style="43" bestFit="1" customWidth="1"/>
    <col min="11525" max="11773" width="11.42578125" style="43"/>
    <col min="11774" max="11774" width="16.28515625" style="43" customWidth="1"/>
    <col min="11775" max="11775" width="44.5703125" style="43" customWidth="1"/>
    <col min="11776" max="11776" width="0" style="43" hidden="1" customWidth="1"/>
    <col min="11777" max="11777" width="17.85546875" style="43" customWidth="1"/>
    <col min="11778" max="11778" width="0" style="43" hidden="1" customWidth="1"/>
    <col min="11779" max="11779" width="17.85546875" style="43" customWidth="1"/>
    <col min="11780" max="11780" width="14.42578125" style="43" bestFit="1" customWidth="1"/>
    <col min="11781" max="12029" width="11.42578125" style="43"/>
    <col min="12030" max="12030" width="16.28515625" style="43" customWidth="1"/>
    <col min="12031" max="12031" width="44.5703125" style="43" customWidth="1"/>
    <col min="12032" max="12032" width="0" style="43" hidden="1" customWidth="1"/>
    <col min="12033" max="12033" width="17.85546875" style="43" customWidth="1"/>
    <col min="12034" max="12034" width="0" style="43" hidden="1" customWidth="1"/>
    <col min="12035" max="12035" width="17.85546875" style="43" customWidth="1"/>
    <col min="12036" max="12036" width="14.42578125" style="43" bestFit="1" customWidth="1"/>
    <col min="12037" max="12285" width="11.42578125" style="43"/>
    <col min="12286" max="12286" width="16.28515625" style="43" customWidth="1"/>
    <col min="12287" max="12287" width="44.5703125" style="43" customWidth="1"/>
    <col min="12288" max="12288" width="0" style="43" hidden="1" customWidth="1"/>
    <col min="12289" max="12289" width="17.85546875" style="43" customWidth="1"/>
    <col min="12290" max="12290" width="0" style="43" hidden="1" customWidth="1"/>
    <col min="12291" max="12291" width="17.85546875" style="43" customWidth="1"/>
    <col min="12292" max="12292" width="14.42578125" style="43" bestFit="1" customWidth="1"/>
    <col min="12293" max="12541" width="11.42578125" style="43"/>
    <col min="12542" max="12542" width="16.28515625" style="43" customWidth="1"/>
    <col min="12543" max="12543" width="44.5703125" style="43" customWidth="1"/>
    <col min="12544" max="12544" width="0" style="43" hidden="1" customWidth="1"/>
    <col min="12545" max="12545" width="17.85546875" style="43" customWidth="1"/>
    <col min="12546" max="12546" width="0" style="43" hidden="1" customWidth="1"/>
    <col min="12547" max="12547" width="17.85546875" style="43" customWidth="1"/>
    <col min="12548" max="12548" width="14.42578125" style="43" bestFit="1" customWidth="1"/>
    <col min="12549" max="12797" width="11.42578125" style="43"/>
    <col min="12798" max="12798" width="16.28515625" style="43" customWidth="1"/>
    <col min="12799" max="12799" width="44.5703125" style="43" customWidth="1"/>
    <col min="12800" max="12800" width="0" style="43" hidden="1" customWidth="1"/>
    <col min="12801" max="12801" width="17.85546875" style="43" customWidth="1"/>
    <col min="12802" max="12802" width="0" style="43" hidden="1" customWidth="1"/>
    <col min="12803" max="12803" width="17.85546875" style="43" customWidth="1"/>
    <col min="12804" max="12804" width="14.42578125" style="43" bestFit="1" customWidth="1"/>
    <col min="12805" max="13053" width="11.42578125" style="43"/>
    <col min="13054" max="13054" width="16.28515625" style="43" customWidth="1"/>
    <col min="13055" max="13055" width="44.5703125" style="43" customWidth="1"/>
    <col min="13056" max="13056" width="0" style="43" hidden="1" customWidth="1"/>
    <col min="13057" max="13057" width="17.85546875" style="43" customWidth="1"/>
    <col min="13058" max="13058" width="0" style="43" hidden="1" customWidth="1"/>
    <col min="13059" max="13059" width="17.85546875" style="43" customWidth="1"/>
    <col min="13060" max="13060" width="14.42578125" style="43" bestFit="1" customWidth="1"/>
    <col min="13061" max="13309" width="11.42578125" style="43"/>
    <col min="13310" max="13310" width="16.28515625" style="43" customWidth="1"/>
    <col min="13311" max="13311" width="44.5703125" style="43" customWidth="1"/>
    <col min="13312" max="13312" width="0" style="43" hidden="1" customWidth="1"/>
    <col min="13313" max="13313" width="17.85546875" style="43" customWidth="1"/>
    <col min="13314" max="13314" width="0" style="43" hidden="1" customWidth="1"/>
    <col min="13315" max="13315" width="17.85546875" style="43" customWidth="1"/>
    <col min="13316" max="13316" width="14.42578125" style="43" bestFit="1" customWidth="1"/>
    <col min="13317" max="13565" width="11.42578125" style="43"/>
    <col min="13566" max="13566" width="16.28515625" style="43" customWidth="1"/>
    <col min="13567" max="13567" width="44.5703125" style="43" customWidth="1"/>
    <col min="13568" max="13568" width="0" style="43" hidden="1" customWidth="1"/>
    <col min="13569" max="13569" width="17.85546875" style="43" customWidth="1"/>
    <col min="13570" max="13570" width="0" style="43" hidden="1" customWidth="1"/>
    <col min="13571" max="13571" width="17.85546875" style="43" customWidth="1"/>
    <col min="13572" max="13572" width="14.42578125" style="43" bestFit="1" customWidth="1"/>
    <col min="13573" max="13821" width="11.42578125" style="43"/>
    <col min="13822" max="13822" width="16.28515625" style="43" customWidth="1"/>
    <col min="13823" max="13823" width="44.5703125" style="43" customWidth="1"/>
    <col min="13824" max="13824" width="0" style="43" hidden="1" customWidth="1"/>
    <col min="13825" max="13825" width="17.85546875" style="43" customWidth="1"/>
    <col min="13826" max="13826" width="0" style="43" hidden="1" customWidth="1"/>
    <col min="13827" max="13827" width="17.85546875" style="43" customWidth="1"/>
    <col min="13828" max="13828" width="14.42578125" style="43" bestFit="1" customWidth="1"/>
    <col min="13829" max="14077" width="11.42578125" style="43"/>
    <col min="14078" max="14078" width="16.28515625" style="43" customWidth="1"/>
    <col min="14079" max="14079" width="44.5703125" style="43" customWidth="1"/>
    <col min="14080" max="14080" width="0" style="43" hidden="1" customWidth="1"/>
    <col min="14081" max="14081" width="17.85546875" style="43" customWidth="1"/>
    <col min="14082" max="14082" width="0" style="43" hidden="1" customWidth="1"/>
    <col min="14083" max="14083" width="17.85546875" style="43" customWidth="1"/>
    <col min="14084" max="14084" width="14.42578125" style="43" bestFit="1" customWidth="1"/>
    <col min="14085" max="14333" width="11.42578125" style="43"/>
    <col min="14334" max="14334" width="16.28515625" style="43" customWidth="1"/>
    <col min="14335" max="14335" width="44.5703125" style="43" customWidth="1"/>
    <col min="14336" max="14336" width="0" style="43" hidden="1" customWidth="1"/>
    <col min="14337" max="14337" width="17.85546875" style="43" customWidth="1"/>
    <col min="14338" max="14338" width="0" style="43" hidden="1" customWidth="1"/>
    <col min="14339" max="14339" width="17.85546875" style="43" customWidth="1"/>
    <col min="14340" max="14340" width="14.42578125" style="43" bestFit="1" customWidth="1"/>
    <col min="14341" max="14589" width="11.42578125" style="43"/>
    <col min="14590" max="14590" width="16.28515625" style="43" customWidth="1"/>
    <col min="14591" max="14591" width="44.5703125" style="43" customWidth="1"/>
    <col min="14592" max="14592" width="0" style="43" hidden="1" customWidth="1"/>
    <col min="14593" max="14593" width="17.85546875" style="43" customWidth="1"/>
    <col min="14594" max="14594" width="0" style="43" hidden="1" customWidth="1"/>
    <col min="14595" max="14595" width="17.85546875" style="43" customWidth="1"/>
    <col min="14596" max="14596" width="14.42578125" style="43" bestFit="1" customWidth="1"/>
    <col min="14597" max="14845" width="11.42578125" style="43"/>
    <col min="14846" max="14846" width="16.28515625" style="43" customWidth="1"/>
    <col min="14847" max="14847" width="44.5703125" style="43" customWidth="1"/>
    <col min="14848" max="14848" width="0" style="43" hidden="1" customWidth="1"/>
    <col min="14849" max="14849" width="17.85546875" style="43" customWidth="1"/>
    <col min="14850" max="14850" width="0" style="43" hidden="1" customWidth="1"/>
    <col min="14851" max="14851" width="17.85546875" style="43" customWidth="1"/>
    <col min="14852" max="14852" width="14.42578125" style="43" bestFit="1" customWidth="1"/>
    <col min="14853" max="15101" width="11.42578125" style="43"/>
    <col min="15102" max="15102" width="16.28515625" style="43" customWidth="1"/>
    <col min="15103" max="15103" width="44.5703125" style="43" customWidth="1"/>
    <col min="15104" max="15104" width="0" style="43" hidden="1" customWidth="1"/>
    <col min="15105" max="15105" width="17.85546875" style="43" customWidth="1"/>
    <col min="15106" max="15106" width="0" style="43" hidden="1" customWidth="1"/>
    <col min="15107" max="15107" width="17.85546875" style="43" customWidth="1"/>
    <col min="15108" max="15108" width="14.42578125" style="43" bestFit="1" customWidth="1"/>
    <col min="15109" max="15357" width="11.42578125" style="43"/>
    <col min="15358" max="15358" width="16.28515625" style="43" customWidth="1"/>
    <col min="15359" max="15359" width="44.5703125" style="43" customWidth="1"/>
    <col min="15360" max="15360" width="0" style="43" hidden="1" customWidth="1"/>
    <col min="15361" max="15361" width="17.85546875" style="43" customWidth="1"/>
    <col min="15362" max="15362" width="0" style="43" hidden="1" customWidth="1"/>
    <col min="15363" max="15363" width="17.85546875" style="43" customWidth="1"/>
    <col min="15364" max="15364" width="14.42578125" style="43" bestFit="1" customWidth="1"/>
    <col min="15365" max="15613" width="11.42578125" style="43"/>
    <col min="15614" max="15614" width="16.28515625" style="43" customWidth="1"/>
    <col min="15615" max="15615" width="44.5703125" style="43" customWidth="1"/>
    <col min="15616" max="15616" width="0" style="43" hidden="1" customWidth="1"/>
    <col min="15617" max="15617" width="17.85546875" style="43" customWidth="1"/>
    <col min="15618" max="15618" width="0" style="43" hidden="1" customWidth="1"/>
    <col min="15619" max="15619" width="17.85546875" style="43" customWidth="1"/>
    <col min="15620" max="15620" width="14.42578125" style="43" bestFit="1" customWidth="1"/>
    <col min="15621" max="15869" width="11.42578125" style="43"/>
    <col min="15870" max="15870" width="16.28515625" style="43" customWidth="1"/>
    <col min="15871" max="15871" width="44.5703125" style="43" customWidth="1"/>
    <col min="15872" max="15872" width="0" style="43" hidden="1" customWidth="1"/>
    <col min="15873" max="15873" width="17.85546875" style="43" customWidth="1"/>
    <col min="15874" max="15874" width="0" style="43" hidden="1" customWidth="1"/>
    <col min="15875" max="15875" width="17.85546875" style="43" customWidth="1"/>
    <col min="15876" max="15876" width="14.42578125" style="43" bestFit="1" customWidth="1"/>
    <col min="15877" max="16125" width="11.42578125" style="43"/>
    <col min="16126" max="16126" width="16.28515625" style="43" customWidth="1"/>
    <col min="16127" max="16127" width="44.5703125" style="43" customWidth="1"/>
    <col min="16128" max="16128" width="0" style="43" hidden="1" customWidth="1"/>
    <col min="16129" max="16129" width="17.85546875" style="43" customWidth="1"/>
    <col min="16130" max="16130" width="0" style="43" hidden="1" customWidth="1"/>
    <col min="16131" max="16131" width="17.85546875" style="43" customWidth="1"/>
    <col min="16132" max="16132" width="14.42578125" style="43" bestFit="1" customWidth="1"/>
    <col min="16133" max="16384" width="11.42578125" style="43"/>
  </cols>
  <sheetData>
    <row r="1" spans="1:21" ht="27.75" customHeight="1" x14ac:dyDescent="0.2">
      <c r="A1" s="2467" t="s">
        <v>142</v>
      </c>
      <c r="B1" s="2467"/>
      <c r="C1" s="2467"/>
      <c r="D1" s="2467"/>
      <c r="E1" s="2467"/>
    </row>
    <row r="2" spans="1:21" ht="51.75" customHeight="1" x14ac:dyDescent="0.2">
      <c r="A2" s="171" t="s">
        <v>143</v>
      </c>
      <c r="B2" s="171" t="s">
        <v>144</v>
      </c>
      <c r="C2" s="263" t="s">
        <v>1040</v>
      </c>
      <c r="D2" s="263" t="s">
        <v>1041</v>
      </c>
      <c r="E2" s="263" t="s">
        <v>1260</v>
      </c>
    </row>
    <row r="3" spans="1:21" ht="69.75" customHeight="1" x14ac:dyDescent="0.2">
      <c r="A3" s="265" t="s">
        <v>567</v>
      </c>
      <c r="B3" s="266" t="s">
        <v>568</v>
      </c>
      <c r="C3" s="689">
        <f>AVERAGE('Objetivo 1(Encuestas)'!L4,'Objetivo 1(Calif. ss)'!R10,'Objetivo 1(Quejas)'!Q21)</f>
        <v>0.92702690058479531</v>
      </c>
      <c r="D3" s="689">
        <f>AVERAGE('Objetivo 1(Encuestas)'!K4,'Objetivo 1(Calif. ss)'!P4,'Objetivo 1(Quejas)'!N21)</f>
        <v>0.93286666666666662</v>
      </c>
      <c r="E3" s="1486">
        <f>AVERAGE(C3:D3)</f>
        <v>0.92994678362573091</v>
      </c>
    </row>
    <row r="4" spans="1:21" ht="78.75" customHeight="1" x14ac:dyDescent="0.2">
      <c r="A4" s="265" t="s">
        <v>569</v>
      </c>
      <c r="B4" s="266" t="s">
        <v>571</v>
      </c>
      <c r="C4" s="690">
        <f>'Objetivo 2 '!AC33</f>
        <v>0.88888888888888884</v>
      </c>
      <c r="D4" s="690">
        <f>'Objetivo 2 '!AD33</f>
        <v>0.9</v>
      </c>
      <c r="E4" s="690">
        <f>18/20</f>
        <v>0.9</v>
      </c>
    </row>
    <row r="5" spans="1:21" ht="50.25" customHeight="1" x14ac:dyDescent="0.2">
      <c r="A5" s="265" t="s">
        <v>574</v>
      </c>
      <c r="B5" s="266" t="s">
        <v>572</v>
      </c>
      <c r="C5" s="690">
        <f>'Objetivo 3 '!AD95</f>
        <v>0.93569062499999989</v>
      </c>
      <c r="D5" s="690">
        <f>'Objetivo 3 '!AE95</f>
        <v>0.94826435897435912</v>
      </c>
      <c r="E5" s="1487">
        <f>'Objetivo 3 '!AF95</f>
        <v>0.9419774919871795</v>
      </c>
    </row>
    <row r="6" spans="1:21" ht="36" customHeight="1" x14ac:dyDescent="0.2">
      <c r="A6" s="264"/>
      <c r="B6" s="172" t="s">
        <v>53</v>
      </c>
      <c r="C6" s="691">
        <f>AVERAGE(C3:C5)</f>
        <v>0.91720213815789464</v>
      </c>
      <c r="D6" s="691">
        <f>AVERAGE(D3:D5)</f>
        <v>0.92704367521367514</v>
      </c>
      <c r="E6" s="1488">
        <f>AVERAGE(E3:E5)</f>
        <v>0.92397475853763689</v>
      </c>
      <c r="T6" s="296">
        <v>0.96</v>
      </c>
      <c r="U6" s="296">
        <v>0.95</v>
      </c>
    </row>
    <row r="7" spans="1:21" ht="46.5" customHeight="1" x14ac:dyDescent="0.35">
      <c r="C7" s="173"/>
      <c r="D7" s="173"/>
      <c r="T7" s="297">
        <v>3</v>
      </c>
      <c r="U7" s="297">
        <v>2</v>
      </c>
    </row>
    <row r="8" spans="1:21" x14ac:dyDescent="0.2">
      <c r="T8" s="298">
        <v>6.4600000000000005E-2</v>
      </c>
      <c r="U8" s="298">
        <v>7.6200000000000004E-2</v>
      </c>
    </row>
    <row r="9" spans="1:21" ht="23.25" x14ac:dyDescent="0.35">
      <c r="C9" s="173"/>
      <c r="D9" s="173"/>
      <c r="T9" s="298">
        <v>0.8</v>
      </c>
      <c r="U9" s="298">
        <v>0.89700000000000002</v>
      </c>
    </row>
    <row r="10" spans="1:21" x14ac:dyDescent="0.2">
      <c r="T10" s="2468">
        <v>0.13</v>
      </c>
      <c r="U10" s="2468"/>
    </row>
    <row r="11" spans="1:21" x14ac:dyDescent="0.2">
      <c r="T11" s="2469"/>
      <c r="U11" s="2469"/>
    </row>
    <row r="12" spans="1:21" ht="15" x14ac:dyDescent="0.2">
      <c r="T12" s="2470"/>
      <c r="U12" s="2470"/>
    </row>
    <row r="13" spans="1:21" ht="15" x14ac:dyDescent="0.2">
      <c r="T13" s="2471"/>
      <c r="U13" s="2472"/>
    </row>
    <row r="14" spans="1:21" x14ac:dyDescent="0.2">
      <c r="T14" s="299"/>
      <c r="U14" s="299"/>
    </row>
    <row r="15" spans="1:21" x14ac:dyDescent="0.2">
      <c r="T15" s="295">
        <v>1.4</v>
      </c>
      <c r="U15" s="295">
        <v>0.38</v>
      </c>
    </row>
    <row r="16" spans="1:21" x14ac:dyDescent="0.2">
      <c r="T16" s="300">
        <v>1.93</v>
      </c>
      <c r="U16" s="300">
        <v>1.43</v>
      </c>
    </row>
    <row r="17" spans="20:21" x14ac:dyDescent="0.2">
      <c r="T17" s="300">
        <v>2.63</v>
      </c>
      <c r="U17" s="300">
        <v>2.72</v>
      </c>
    </row>
    <row r="18" spans="20:21" x14ac:dyDescent="0.2">
      <c r="T18" s="2473">
        <v>0.73</v>
      </c>
      <c r="U18" s="2473"/>
    </row>
    <row r="19" spans="20:21" x14ac:dyDescent="0.2">
      <c r="T19" s="300">
        <v>0.56000000000000005</v>
      </c>
      <c r="U19" s="300">
        <v>0.78</v>
      </c>
    </row>
    <row r="20" spans="20:21" x14ac:dyDescent="0.2">
      <c r="T20" s="2473">
        <v>0.67</v>
      </c>
      <c r="U20" s="2473"/>
    </row>
    <row r="21" spans="20:21" x14ac:dyDescent="0.2">
      <c r="T21" s="300">
        <v>0.14000000000000001</v>
      </c>
      <c r="U21" s="300">
        <v>0.09</v>
      </c>
    </row>
    <row r="22" spans="20:21" x14ac:dyDescent="0.2">
      <c r="T22" s="296">
        <v>1</v>
      </c>
      <c r="U22" s="296">
        <v>0.93</v>
      </c>
    </row>
    <row r="23" spans="20:21" x14ac:dyDescent="0.2">
      <c r="T23" s="296">
        <v>0.9</v>
      </c>
      <c r="U23" s="296">
        <v>0.91</v>
      </c>
    </row>
    <row r="24" spans="20:21" x14ac:dyDescent="0.2">
      <c r="T24" s="2474">
        <v>0.91</v>
      </c>
      <c r="U24" s="2474"/>
    </row>
    <row r="25" spans="20:21" x14ac:dyDescent="0.2">
      <c r="T25" s="2475">
        <v>0.76</v>
      </c>
      <c r="U25" s="2475"/>
    </row>
    <row r="26" spans="20:21" x14ac:dyDescent="0.2">
      <c r="T26" s="301"/>
      <c r="U26" s="301"/>
    </row>
    <row r="27" spans="20:21" x14ac:dyDescent="0.2">
      <c r="T27" s="2473">
        <v>0.73</v>
      </c>
      <c r="U27" s="2473"/>
    </row>
    <row r="28" spans="20:21" x14ac:dyDescent="0.2">
      <c r="T28" s="2476">
        <v>0.88</v>
      </c>
      <c r="U28" s="2476"/>
    </row>
    <row r="29" spans="20:21" ht="18" x14ac:dyDescent="0.2">
      <c r="T29" s="2477">
        <v>8.3299999999999999E-2</v>
      </c>
      <c r="U29" s="2477"/>
    </row>
    <row r="30" spans="20:21" ht="18" x14ac:dyDescent="0.2">
      <c r="T30" s="2477">
        <v>4.1000000000000002E-2</v>
      </c>
      <c r="U30" s="2477"/>
    </row>
    <row r="31" spans="20:21" ht="18" x14ac:dyDescent="0.2">
      <c r="T31" s="2477">
        <v>3.1E-2</v>
      </c>
      <c r="U31" s="2477"/>
    </row>
    <row r="32" spans="20:21" ht="18" x14ac:dyDescent="0.2">
      <c r="T32" s="2477">
        <v>0.97</v>
      </c>
      <c r="U32" s="2477"/>
    </row>
    <row r="33" spans="1:21" ht="18" hidden="1" customHeight="1" x14ac:dyDescent="0.2">
      <c r="A33" s="2465" t="s">
        <v>149</v>
      </c>
      <c r="B33" s="2466"/>
      <c r="C33" s="2466"/>
      <c r="T33" s="2461" t="s">
        <v>626</v>
      </c>
      <c r="U33" s="2461"/>
    </row>
    <row r="34" spans="1:21" ht="12.75" hidden="1" customHeight="1" x14ac:dyDescent="0.2">
      <c r="A34" s="44" t="s">
        <v>150</v>
      </c>
      <c r="B34" s="44" t="s">
        <v>151</v>
      </c>
      <c r="C34" s="44" t="s">
        <v>152</v>
      </c>
      <c r="D34" s="44" t="s">
        <v>153</v>
      </c>
      <c r="T34" s="296">
        <v>1</v>
      </c>
      <c r="U34" s="296" t="s">
        <v>626</v>
      </c>
    </row>
    <row r="35" spans="1:21" ht="18" hidden="1" customHeight="1" x14ac:dyDescent="0.2">
      <c r="A35" s="45">
        <v>57.6</v>
      </c>
      <c r="B35" s="45">
        <v>79</v>
      </c>
      <c r="C35" s="45">
        <v>100</v>
      </c>
      <c r="D35" s="46">
        <v>20.6</v>
      </c>
      <c r="T35" s="302"/>
      <c r="U35" s="302"/>
    </row>
    <row r="36" spans="1:21" ht="15" hidden="1" customHeight="1" x14ac:dyDescent="0.2">
      <c r="A36" s="47" t="s">
        <v>154</v>
      </c>
      <c r="B36" s="47" t="s">
        <v>155</v>
      </c>
      <c r="C36" s="47" t="s">
        <v>157</v>
      </c>
      <c r="T36" s="295">
        <v>0.997</v>
      </c>
      <c r="U36" s="295">
        <v>0.99099999999999999</v>
      </c>
    </row>
    <row r="37" spans="1:21" ht="15" hidden="1" customHeight="1" x14ac:dyDescent="0.2">
      <c r="A37" s="47" t="s">
        <v>158</v>
      </c>
      <c r="B37" s="47" t="s">
        <v>159</v>
      </c>
      <c r="C37" s="47" t="s">
        <v>157</v>
      </c>
      <c r="T37" s="2462">
        <v>0.90300000000000002</v>
      </c>
      <c r="U37" s="2462"/>
    </row>
    <row r="38" spans="1:21" ht="15" hidden="1" customHeight="1" x14ac:dyDescent="0.2">
      <c r="A38" s="47" t="s">
        <v>160</v>
      </c>
      <c r="B38" s="47" t="s">
        <v>161</v>
      </c>
      <c r="C38" s="47" t="s">
        <v>162</v>
      </c>
      <c r="T38" s="295"/>
      <c r="U38" s="295"/>
    </row>
    <row r="39" spans="1:21" ht="15" hidden="1" customHeight="1" x14ac:dyDescent="0.2">
      <c r="A39" s="47" t="s">
        <v>163</v>
      </c>
      <c r="B39" s="47">
        <v>5.3</v>
      </c>
      <c r="C39" s="47" t="s">
        <v>164</v>
      </c>
      <c r="T39" s="295"/>
      <c r="U39" s="295"/>
    </row>
    <row r="40" spans="1:21" ht="15" hidden="1" customHeight="1" x14ac:dyDescent="0.2">
      <c r="A40" s="47" t="s">
        <v>157</v>
      </c>
      <c r="B40" s="47">
        <v>6.3</v>
      </c>
      <c r="C40" s="47"/>
      <c r="T40" s="2463">
        <v>0.93</v>
      </c>
      <c r="U40" s="2463"/>
    </row>
    <row r="41" spans="1:21" ht="15" hidden="1" customHeight="1" x14ac:dyDescent="0.2">
      <c r="A41" s="47"/>
      <c r="B41" s="47">
        <v>7.1</v>
      </c>
      <c r="C41" s="47"/>
      <c r="T41" s="2463">
        <v>1</v>
      </c>
      <c r="U41" s="2463"/>
    </row>
    <row r="42" spans="1:21" ht="15" hidden="1" customHeight="1" x14ac:dyDescent="0.2">
      <c r="A42" s="47"/>
      <c r="B42" s="47" t="s">
        <v>160</v>
      </c>
      <c r="C42" s="47"/>
      <c r="T42" s="303">
        <v>1</v>
      </c>
      <c r="U42" s="303">
        <v>1</v>
      </c>
    </row>
    <row r="43" spans="1:21" ht="15" hidden="1" customHeight="1" x14ac:dyDescent="0.2">
      <c r="A43" s="47"/>
      <c r="B43" s="47" t="s">
        <v>163</v>
      </c>
      <c r="C43" s="47"/>
      <c r="T43" s="303">
        <v>1</v>
      </c>
      <c r="U43" s="303">
        <v>1</v>
      </c>
    </row>
    <row r="44" spans="1:21" ht="15" hidden="1" customHeight="1" x14ac:dyDescent="0.2">
      <c r="A44" s="47"/>
      <c r="B44" s="47">
        <v>8.1</v>
      </c>
      <c r="C44" s="47"/>
      <c r="T44" s="304"/>
      <c r="U44" s="304"/>
    </row>
    <row r="45" spans="1:21" ht="15" hidden="1" customHeight="1" x14ac:dyDescent="0.2">
      <c r="A45" s="47"/>
      <c r="B45" s="47" t="s">
        <v>156</v>
      </c>
      <c r="C45" s="47"/>
      <c r="T45" s="2462">
        <v>1</v>
      </c>
      <c r="U45" s="2462"/>
    </row>
    <row r="46" spans="1:21" ht="15" hidden="1" customHeight="1" x14ac:dyDescent="0.2">
      <c r="A46" s="47"/>
      <c r="B46" s="47" t="s">
        <v>157</v>
      </c>
      <c r="C46" s="47"/>
      <c r="T46" s="295"/>
      <c r="U46" s="295"/>
    </row>
    <row r="47" spans="1:21" x14ac:dyDescent="0.2">
      <c r="T47" s="295">
        <v>1</v>
      </c>
      <c r="U47" s="295">
        <v>1</v>
      </c>
    </row>
    <row r="48" spans="1:21" x14ac:dyDescent="0.2">
      <c r="T48" s="295">
        <v>0.98</v>
      </c>
      <c r="U48" s="295">
        <v>0.98</v>
      </c>
    </row>
    <row r="49" spans="20:21" ht="15.75" x14ac:dyDescent="0.2">
      <c r="T49" s="305">
        <v>0.56999999999999995</v>
      </c>
      <c r="U49" s="305">
        <v>0.63</v>
      </c>
    </row>
    <row r="50" spans="20:21" ht="15" x14ac:dyDescent="0.2">
      <c r="T50" s="2464">
        <v>0.5</v>
      </c>
      <c r="U50" s="2464"/>
    </row>
    <row r="51" spans="20:21" ht="15" x14ac:dyDescent="0.2">
      <c r="T51" s="2464">
        <v>0.67</v>
      </c>
      <c r="U51" s="2464"/>
    </row>
    <row r="52" spans="20:21" ht="15" x14ac:dyDescent="0.2">
      <c r="T52" s="306">
        <v>1</v>
      </c>
      <c r="U52" s="307" t="s">
        <v>626</v>
      </c>
    </row>
    <row r="53" spans="20:21" x14ac:dyDescent="0.2">
      <c r="T53" s="2462">
        <v>0.89</v>
      </c>
      <c r="U53" s="2462"/>
    </row>
    <row r="54" spans="20:21" x14ac:dyDescent="0.2">
      <c r="T54" s="308">
        <v>4.55</v>
      </c>
      <c r="U54" s="308">
        <v>4.63</v>
      </c>
    </row>
    <row r="55" spans="20:21" x14ac:dyDescent="0.2">
      <c r="T55" s="295">
        <v>0.97799999999999998</v>
      </c>
      <c r="U55" s="295">
        <v>0.95</v>
      </c>
    </row>
    <row r="56" spans="20:21" x14ac:dyDescent="0.2">
      <c r="T56" s="2462">
        <v>0.124</v>
      </c>
      <c r="U56" s="2462"/>
    </row>
    <row r="57" spans="20:21" x14ac:dyDescent="0.2">
      <c r="T57" s="295">
        <v>0.02</v>
      </c>
      <c r="U57" s="295">
        <v>2.5999999999999999E-2</v>
      </c>
    </row>
    <row r="58" spans="20:21" ht="20.25" x14ac:dyDescent="0.3">
      <c r="T58" s="294">
        <f>AVERAGE(T6,T8:T11,T15:T53,T55:T57)</f>
        <v>0.79184358974358993</v>
      </c>
      <c r="U58" s="294">
        <f>AVERAGE(U6,U8:U11,U15:U53,U55:U57)</f>
        <v>0.87445555555555565</v>
      </c>
    </row>
  </sheetData>
  <mergeCells count="25">
    <mergeCell ref="A33:C33"/>
    <mergeCell ref="A1:E1"/>
    <mergeCell ref="T10:U10"/>
    <mergeCell ref="T11:U11"/>
    <mergeCell ref="T12:U12"/>
    <mergeCell ref="T13:U13"/>
    <mergeCell ref="T18:U18"/>
    <mergeCell ref="T20:U20"/>
    <mergeCell ref="T24:U24"/>
    <mergeCell ref="T25:U25"/>
    <mergeCell ref="T27:U27"/>
    <mergeCell ref="T28:U28"/>
    <mergeCell ref="T29:U29"/>
    <mergeCell ref="T30:U30"/>
    <mergeCell ref="T31:U31"/>
    <mergeCell ref="T32:U32"/>
    <mergeCell ref="T33:U33"/>
    <mergeCell ref="T37:U37"/>
    <mergeCell ref="T53:U53"/>
    <mergeCell ref="T56:U56"/>
    <mergeCell ref="T40:U40"/>
    <mergeCell ref="T41:U41"/>
    <mergeCell ref="T45:U45"/>
    <mergeCell ref="T50:U50"/>
    <mergeCell ref="T51:U51"/>
  </mergeCells>
  <pageMargins left="0.75" right="0.75" top="1" bottom="1"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W69"/>
  <sheetViews>
    <sheetView tabSelected="1" topLeftCell="A44" zoomScale="80" zoomScaleNormal="80" workbookViewId="0">
      <selection activeCell="B55" sqref="B55"/>
    </sheetView>
  </sheetViews>
  <sheetFormatPr baseColWidth="10" defaultRowHeight="12.75" x14ac:dyDescent="0.2"/>
  <cols>
    <col min="1" max="2" width="25.42578125" style="48" customWidth="1"/>
    <col min="3" max="6" width="15.7109375" style="48" customWidth="1"/>
    <col min="7" max="21" width="9.42578125" style="48" customWidth="1"/>
    <col min="22" max="22" width="9" style="48" customWidth="1"/>
    <col min="23" max="23" width="18.5703125" style="48" customWidth="1"/>
    <col min="24" max="24" width="13.28515625" style="48" customWidth="1"/>
    <col min="25" max="25" width="11.42578125" style="48" customWidth="1"/>
    <col min="26" max="26" width="14.42578125" style="48" customWidth="1"/>
    <col min="27" max="27" width="13.42578125" style="48" bestFit="1" customWidth="1"/>
    <col min="28" max="28" width="11.42578125" style="48"/>
    <col min="29" max="29" width="12" style="48" bestFit="1" customWidth="1"/>
    <col min="30" max="257" width="11.42578125" style="48"/>
    <col min="258" max="258" width="25.42578125" style="48" customWidth="1"/>
    <col min="259" max="259" width="24" style="48" customWidth="1"/>
    <col min="260" max="260" width="16.140625" style="48" customWidth="1"/>
    <col min="261" max="261" width="22.5703125" style="48" customWidth="1"/>
    <col min="262" max="262" width="20.7109375" style="48" customWidth="1"/>
    <col min="263" max="263" width="27.7109375" style="48" customWidth="1"/>
    <col min="264" max="264" width="22.7109375" style="48" customWidth="1"/>
    <col min="265" max="265" width="15.42578125" style="48" customWidth="1"/>
    <col min="266" max="266" width="16.85546875" style="48" customWidth="1"/>
    <col min="267" max="267" width="16.140625" style="48" customWidth="1"/>
    <col min="268" max="269" width="14.140625" style="48" customWidth="1"/>
    <col min="270" max="270" width="15.5703125" style="48" customWidth="1"/>
    <col min="271" max="271" width="14.7109375" style="48" customWidth="1"/>
    <col min="272" max="272" width="15.42578125" style="48" customWidth="1"/>
    <col min="273" max="273" width="12" style="48" customWidth="1"/>
    <col min="274" max="274" width="13.42578125" style="48" customWidth="1"/>
    <col min="275" max="275" width="6.5703125" style="48" customWidth="1"/>
    <col min="276" max="282" width="11.42578125" style="48"/>
    <col min="283" max="283" width="13.42578125" style="48" bestFit="1" customWidth="1"/>
    <col min="284" max="284" width="11.42578125" style="48"/>
    <col min="285" max="285" width="12" style="48" bestFit="1" customWidth="1"/>
    <col min="286" max="513" width="11.42578125" style="48"/>
    <col min="514" max="514" width="25.42578125" style="48" customWidth="1"/>
    <col min="515" max="515" width="24" style="48" customWidth="1"/>
    <col min="516" max="516" width="16.140625" style="48" customWidth="1"/>
    <col min="517" max="517" width="22.5703125" style="48" customWidth="1"/>
    <col min="518" max="518" width="20.7109375" style="48" customWidth="1"/>
    <col min="519" max="519" width="27.7109375" style="48" customWidth="1"/>
    <col min="520" max="520" width="22.7109375" style="48" customWidth="1"/>
    <col min="521" max="521" width="15.42578125" style="48" customWidth="1"/>
    <col min="522" max="522" width="16.85546875" style="48" customWidth="1"/>
    <col min="523" max="523" width="16.140625" style="48" customWidth="1"/>
    <col min="524" max="525" width="14.140625" style="48" customWidth="1"/>
    <col min="526" max="526" width="15.5703125" style="48" customWidth="1"/>
    <col min="527" max="527" width="14.7109375" style="48" customWidth="1"/>
    <col min="528" max="528" width="15.42578125" style="48" customWidth="1"/>
    <col min="529" max="529" width="12" style="48" customWidth="1"/>
    <col min="530" max="530" width="13.42578125" style="48" customWidth="1"/>
    <col min="531" max="531" width="6.5703125" style="48" customWidth="1"/>
    <col min="532" max="538" width="11.42578125" style="48"/>
    <col min="539" max="539" width="13.42578125" style="48" bestFit="1" customWidth="1"/>
    <col min="540" max="540" width="11.42578125" style="48"/>
    <col min="541" max="541" width="12" style="48" bestFit="1" customWidth="1"/>
    <col min="542" max="769" width="11.42578125" style="48"/>
    <col min="770" max="770" width="25.42578125" style="48" customWidth="1"/>
    <col min="771" max="771" width="24" style="48" customWidth="1"/>
    <col min="772" max="772" width="16.140625" style="48" customWidth="1"/>
    <col min="773" max="773" width="22.5703125" style="48" customWidth="1"/>
    <col min="774" max="774" width="20.7109375" style="48" customWidth="1"/>
    <col min="775" max="775" width="27.7109375" style="48" customWidth="1"/>
    <col min="776" max="776" width="22.7109375" style="48" customWidth="1"/>
    <col min="777" max="777" width="15.42578125" style="48" customWidth="1"/>
    <col min="778" max="778" width="16.85546875" style="48" customWidth="1"/>
    <col min="779" max="779" width="16.140625" style="48" customWidth="1"/>
    <col min="780" max="781" width="14.140625" style="48" customWidth="1"/>
    <col min="782" max="782" width="15.5703125" style="48" customWidth="1"/>
    <col min="783" max="783" width="14.7109375" style="48" customWidth="1"/>
    <col min="784" max="784" width="15.42578125" style="48" customWidth="1"/>
    <col min="785" max="785" width="12" style="48" customWidth="1"/>
    <col min="786" max="786" width="13.42578125" style="48" customWidth="1"/>
    <col min="787" max="787" width="6.5703125" style="48" customWidth="1"/>
    <col min="788" max="794" width="11.42578125" style="48"/>
    <col min="795" max="795" width="13.42578125" style="48" bestFit="1" customWidth="1"/>
    <col min="796" max="796" width="11.42578125" style="48"/>
    <col min="797" max="797" width="12" style="48" bestFit="1" customWidth="1"/>
    <col min="798" max="1025" width="11.42578125" style="48"/>
    <col min="1026" max="1026" width="25.42578125" style="48" customWidth="1"/>
    <col min="1027" max="1027" width="24" style="48" customWidth="1"/>
    <col min="1028" max="1028" width="16.140625" style="48" customWidth="1"/>
    <col min="1029" max="1029" width="22.5703125" style="48" customWidth="1"/>
    <col min="1030" max="1030" width="20.7109375" style="48" customWidth="1"/>
    <col min="1031" max="1031" width="27.7109375" style="48" customWidth="1"/>
    <col min="1032" max="1032" width="22.7109375" style="48" customWidth="1"/>
    <col min="1033" max="1033" width="15.42578125" style="48" customWidth="1"/>
    <col min="1034" max="1034" width="16.85546875" style="48" customWidth="1"/>
    <col min="1035" max="1035" width="16.140625" style="48" customWidth="1"/>
    <col min="1036" max="1037" width="14.140625" style="48" customWidth="1"/>
    <col min="1038" max="1038" width="15.5703125" style="48" customWidth="1"/>
    <col min="1039" max="1039" width="14.7109375" style="48" customWidth="1"/>
    <col min="1040" max="1040" width="15.42578125" style="48" customWidth="1"/>
    <col min="1041" max="1041" width="12" style="48" customWidth="1"/>
    <col min="1042" max="1042" width="13.42578125" style="48" customWidth="1"/>
    <col min="1043" max="1043" width="6.5703125" style="48" customWidth="1"/>
    <col min="1044" max="1050" width="11.42578125" style="48"/>
    <col min="1051" max="1051" width="13.42578125" style="48" bestFit="1" customWidth="1"/>
    <col min="1052" max="1052" width="11.42578125" style="48"/>
    <col min="1053" max="1053" width="12" style="48" bestFit="1" customWidth="1"/>
    <col min="1054" max="1281" width="11.42578125" style="48"/>
    <col min="1282" max="1282" width="25.42578125" style="48" customWidth="1"/>
    <col min="1283" max="1283" width="24" style="48" customWidth="1"/>
    <col min="1284" max="1284" width="16.140625" style="48" customWidth="1"/>
    <col min="1285" max="1285" width="22.5703125" style="48" customWidth="1"/>
    <col min="1286" max="1286" width="20.7109375" style="48" customWidth="1"/>
    <col min="1287" max="1287" width="27.7109375" style="48" customWidth="1"/>
    <col min="1288" max="1288" width="22.7109375" style="48" customWidth="1"/>
    <col min="1289" max="1289" width="15.42578125" style="48" customWidth="1"/>
    <col min="1290" max="1290" width="16.85546875" style="48" customWidth="1"/>
    <col min="1291" max="1291" width="16.140625" style="48" customWidth="1"/>
    <col min="1292" max="1293" width="14.140625" style="48" customWidth="1"/>
    <col min="1294" max="1294" width="15.5703125" style="48" customWidth="1"/>
    <col min="1295" max="1295" width="14.7109375" style="48" customWidth="1"/>
    <col min="1296" max="1296" width="15.42578125" style="48" customWidth="1"/>
    <col min="1297" max="1297" width="12" style="48" customWidth="1"/>
    <col min="1298" max="1298" width="13.42578125" style="48" customWidth="1"/>
    <col min="1299" max="1299" width="6.5703125" style="48" customWidth="1"/>
    <col min="1300" max="1306" width="11.42578125" style="48"/>
    <col min="1307" max="1307" width="13.42578125" style="48" bestFit="1" customWidth="1"/>
    <col min="1308" max="1308" width="11.42578125" style="48"/>
    <col min="1309" max="1309" width="12" style="48" bestFit="1" customWidth="1"/>
    <col min="1310" max="1537" width="11.42578125" style="48"/>
    <col min="1538" max="1538" width="25.42578125" style="48" customWidth="1"/>
    <col min="1539" max="1539" width="24" style="48" customWidth="1"/>
    <col min="1540" max="1540" width="16.140625" style="48" customWidth="1"/>
    <col min="1541" max="1541" width="22.5703125" style="48" customWidth="1"/>
    <col min="1542" max="1542" width="20.7109375" style="48" customWidth="1"/>
    <col min="1543" max="1543" width="27.7109375" style="48" customWidth="1"/>
    <col min="1544" max="1544" width="22.7109375" style="48" customWidth="1"/>
    <col min="1545" max="1545" width="15.42578125" style="48" customWidth="1"/>
    <col min="1546" max="1546" width="16.85546875" style="48" customWidth="1"/>
    <col min="1547" max="1547" width="16.140625" style="48" customWidth="1"/>
    <col min="1548" max="1549" width="14.140625" style="48" customWidth="1"/>
    <col min="1550" max="1550" width="15.5703125" style="48" customWidth="1"/>
    <col min="1551" max="1551" width="14.7109375" style="48" customWidth="1"/>
    <col min="1552" max="1552" width="15.42578125" style="48" customWidth="1"/>
    <col min="1553" max="1553" width="12" style="48" customWidth="1"/>
    <col min="1554" max="1554" width="13.42578125" style="48" customWidth="1"/>
    <col min="1555" max="1555" width="6.5703125" style="48" customWidth="1"/>
    <col min="1556" max="1562" width="11.42578125" style="48"/>
    <col min="1563" max="1563" width="13.42578125" style="48" bestFit="1" customWidth="1"/>
    <col min="1564" max="1564" width="11.42578125" style="48"/>
    <col min="1565" max="1565" width="12" style="48" bestFit="1" customWidth="1"/>
    <col min="1566" max="1793" width="11.42578125" style="48"/>
    <col min="1794" max="1794" width="25.42578125" style="48" customWidth="1"/>
    <col min="1795" max="1795" width="24" style="48" customWidth="1"/>
    <col min="1796" max="1796" width="16.140625" style="48" customWidth="1"/>
    <col min="1797" max="1797" width="22.5703125" style="48" customWidth="1"/>
    <col min="1798" max="1798" width="20.7109375" style="48" customWidth="1"/>
    <col min="1799" max="1799" width="27.7109375" style="48" customWidth="1"/>
    <col min="1800" max="1800" width="22.7109375" style="48" customWidth="1"/>
    <col min="1801" max="1801" width="15.42578125" style="48" customWidth="1"/>
    <col min="1802" max="1802" width="16.85546875" style="48" customWidth="1"/>
    <col min="1803" max="1803" width="16.140625" style="48" customWidth="1"/>
    <col min="1804" max="1805" width="14.140625" style="48" customWidth="1"/>
    <col min="1806" max="1806" width="15.5703125" style="48" customWidth="1"/>
    <col min="1807" max="1807" width="14.7109375" style="48" customWidth="1"/>
    <col min="1808" max="1808" width="15.42578125" style="48" customWidth="1"/>
    <col min="1809" max="1809" width="12" style="48" customWidth="1"/>
    <col min="1810" max="1810" width="13.42578125" style="48" customWidth="1"/>
    <col min="1811" max="1811" width="6.5703125" style="48" customWidth="1"/>
    <col min="1812" max="1818" width="11.42578125" style="48"/>
    <col min="1819" max="1819" width="13.42578125" style="48" bestFit="1" customWidth="1"/>
    <col min="1820" max="1820" width="11.42578125" style="48"/>
    <col min="1821" max="1821" width="12" style="48" bestFit="1" customWidth="1"/>
    <col min="1822" max="2049" width="11.42578125" style="48"/>
    <col min="2050" max="2050" width="25.42578125" style="48" customWidth="1"/>
    <col min="2051" max="2051" width="24" style="48" customWidth="1"/>
    <col min="2052" max="2052" width="16.140625" style="48" customWidth="1"/>
    <col min="2053" max="2053" width="22.5703125" style="48" customWidth="1"/>
    <col min="2054" max="2054" width="20.7109375" style="48" customWidth="1"/>
    <col min="2055" max="2055" width="27.7109375" style="48" customWidth="1"/>
    <col min="2056" max="2056" width="22.7109375" style="48" customWidth="1"/>
    <col min="2057" max="2057" width="15.42578125" style="48" customWidth="1"/>
    <col min="2058" max="2058" width="16.85546875" style="48" customWidth="1"/>
    <col min="2059" max="2059" width="16.140625" style="48" customWidth="1"/>
    <col min="2060" max="2061" width="14.140625" style="48" customWidth="1"/>
    <col min="2062" max="2062" width="15.5703125" style="48" customWidth="1"/>
    <col min="2063" max="2063" width="14.7109375" style="48" customWidth="1"/>
    <col min="2064" max="2064" width="15.42578125" style="48" customWidth="1"/>
    <col min="2065" max="2065" width="12" style="48" customWidth="1"/>
    <col min="2066" max="2066" width="13.42578125" style="48" customWidth="1"/>
    <col min="2067" max="2067" width="6.5703125" style="48" customWidth="1"/>
    <col min="2068" max="2074" width="11.42578125" style="48"/>
    <col min="2075" max="2075" width="13.42578125" style="48" bestFit="1" customWidth="1"/>
    <col min="2076" max="2076" width="11.42578125" style="48"/>
    <col min="2077" max="2077" width="12" style="48" bestFit="1" customWidth="1"/>
    <col min="2078" max="2305" width="11.42578125" style="48"/>
    <col min="2306" max="2306" width="25.42578125" style="48" customWidth="1"/>
    <col min="2307" max="2307" width="24" style="48" customWidth="1"/>
    <col min="2308" max="2308" width="16.140625" style="48" customWidth="1"/>
    <col min="2309" max="2309" width="22.5703125" style="48" customWidth="1"/>
    <col min="2310" max="2310" width="20.7109375" style="48" customWidth="1"/>
    <col min="2311" max="2311" width="27.7109375" style="48" customWidth="1"/>
    <col min="2312" max="2312" width="22.7109375" style="48" customWidth="1"/>
    <col min="2313" max="2313" width="15.42578125" style="48" customWidth="1"/>
    <col min="2314" max="2314" width="16.85546875" style="48" customWidth="1"/>
    <col min="2315" max="2315" width="16.140625" style="48" customWidth="1"/>
    <col min="2316" max="2317" width="14.140625" style="48" customWidth="1"/>
    <col min="2318" max="2318" width="15.5703125" style="48" customWidth="1"/>
    <col min="2319" max="2319" width="14.7109375" style="48" customWidth="1"/>
    <col min="2320" max="2320" width="15.42578125" style="48" customWidth="1"/>
    <col min="2321" max="2321" width="12" style="48" customWidth="1"/>
    <col min="2322" max="2322" width="13.42578125" style="48" customWidth="1"/>
    <col min="2323" max="2323" width="6.5703125" style="48" customWidth="1"/>
    <col min="2324" max="2330" width="11.42578125" style="48"/>
    <col min="2331" max="2331" width="13.42578125" style="48" bestFit="1" customWidth="1"/>
    <col min="2332" max="2332" width="11.42578125" style="48"/>
    <col min="2333" max="2333" width="12" style="48" bestFit="1" customWidth="1"/>
    <col min="2334" max="2561" width="11.42578125" style="48"/>
    <col min="2562" max="2562" width="25.42578125" style="48" customWidth="1"/>
    <col min="2563" max="2563" width="24" style="48" customWidth="1"/>
    <col min="2564" max="2564" width="16.140625" style="48" customWidth="1"/>
    <col min="2565" max="2565" width="22.5703125" style="48" customWidth="1"/>
    <col min="2566" max="2566" width="20.7109375" style="48" customWidth="1"/>
    <col min="2567" max="2567" width="27.7109375" style="48" customWidth="1"/>
    <col min="2568" max="2568" width="22.7109375" style="48" customWidth="1"/>
    <col min="2569" max="2569" width="15.42578125" style="48" customWidth="1"/>
    <col min="2570" max="2570" width="16.85546875" style="48" customWidth="1"/>
    <col min="2571" max="2571" width="16.140625" style="48" customWidth="1"/>
    <col min="2572" max="2573" width="14.140625" style="48" customWidth="1"/>
    <col min="2574" max="2574" width="15.5703125" style="48" customWidth="1"/>
    <col min="2575" max="2575" width="14.7109375" style="48" customWidth="1"/>
    <col min="2576" max="2576" width="15.42578125" style="48" customWidth="1"/>
    <col min="2577" max="2577" width="12" style="48" customWidth="1"/>
    <col min="2578" max="2578" width="13.42578125" style="48" customWidth="1"/>
    <col min="2579" max="2579" width="6.5703125" style="48" customWidth="1"/>
    <col min="2580" max="2586" width="11.42578125" style="48"/>
    <col min="2587" max="2587" width="13.42578125" style="48" bestFit="1" customWidth="1"/>
    <col min="2588" max="2588" width="11.42578125" style="48"/>
    <col min="2589" max="2589" width="12" style="48" bestFit="1" customWidth="1"/>
    <col min="2590" max="2817" width="11.42578125" style="48"/>
    <col min="2818" max="2818" width="25.42578125" style="48" customWidth="1"/>
    <col min="2819" max="2819" width="24" style="48" customWidth="1"/>
    <col min="2820" max="2820" width="16.140625" style="48" customWidth="1"/>
    <col min="2821" max="2821" width="22.5703125" style="48" customWidth="1"/>
    <col min="2822" max="2822" width="20.7109375" style="48" customWidth="1"/>
    <col min="2823" max="2823" width="27.7109375" style="48" customWidth="1"/>
    <col min="2824" max="2824" width="22.7109375" style="48" customWidth="1"/>
    <col min="2825" max="2825" width="15.42578125" style="48" customWidth="1"/>
    <col min="2826" max="2826" width="16.85546875" style="48" customWidth="1"/>
    <col min="2827" max="2827" width="16.140625" style="48" customWidth="1"/>
    <col min="2828" max="2829" width="14.140625" style="48" customWidth="1"/>
    <col min="2830" max="2830" width="15.5703125" style="48" customWidth="1"/>
    <col min="2831" max="2831" width="14.7109375" style="48" customWidth="1"/>
    <col min="2832" max="2832" width="15.42578125" style="48" customWidth="1"/>
    <col min="2833" max="2833" width="12" style="48" customWidth="1"/>
    <col min="2834" max="2834" width="13.42578125" style="48" customWidth="1"/>
    <col min="2835" max="2835" width="6.5703125" style="48" customWidth="1"/>
    <col min="2836" max="2842" width="11.42578125" style="48"/>
    <col min="2843" max="2843" width="13.42578125" style="48" bestFit="1" customWidth="1"/>
    <col min="2844" max="2844" width="11.42578125" style="48"/>
    <col min="2845" max="2845" width="12" style="48" bestFit="1" customWidth="1"/>
    <col min="2846" max="3073" width="11.42578125" style="48"/>
    <col min="3074" max="3074" width="25.42578125" style="48" customWidth="1"/>
    <col min="3075" max="3075" width="24" style="48" customWidth="1"/>
    <col min="3076" max="3076" width="16.140625" style="48" customWidth="1"/>
    <col min="3077" max="3077" width="22.5703125" style="48" customWidth="1"/>
    <col min="3078" max="3078" width="20.7109375" style="48" customWidth="1"/>
    <col min="3079" max="3079" width="27.7109375" style="48" customWidth="1"/>
    <col min="3080" max="3080" width="22.7109375" style="48" customWidth="1"/>
    <col min="3081" max="3081" width="15.42578125" style="48" customWidth="1"/>
    <col min="3082" max="3082" width="16.85546875" style="48" customWidth="1"/>
    <col min="3083" max="3083" width="16.140625" style="48" customWidth="1"/>
    <col min="3084" max="3085" width="14.140625" style="48" customWidth="1"/>
    <col min="3086" max="3086" width="15.5703125" style="48" customWidth="1"/>
    <col min="3087" max="3087" width="14.7109375" style="48" customWidth="1"/>
    <col min="3088" max="3088" width="15.42578125" style="48" customWidth="1"/>
    <col min="3089" max="3089" width="12" style="48" customWidth="1"/>
    <col min="3090" max="3090" width="13.42578125" style="48" customWidth="1"/>
    <col min="3091" max="3091" width="6.5703125" style="48" customWidth="1"/>
    <col min="3092" max="3098" width="11.42578125" style="48"/>
    <col min="3099" max="3099" width="13.42578125" style="48" bestFit="1" customWidth="1"/>
    <col min="3100" max="3100" width="11.42578125" style="48"/>
    <col min="3101" max="3101" width="12" style="48" bestFit="1" customWidth="1"/>
    <col min="3102" max="3329" width="11.42578125" style="48"/>
    <col min="3330" max="3330" width="25.42578125" style="48" customWidth="1"/>
    <col min="3331" max="3331" width="24" style="48" customWidth="1"/>
    <col min="3332" max="3332" width="16.140625" style="48" customWidth="1"/>
    <col min="3333" max="3333" width="22.5703125" style="48" customWidth="1"/>
    <col min="3334" max="3334" width="20.7109375" style="48" customWidth="1"/>
    <col min="3335" max="3335" width="27.7109375" style="48" customWidth="1"/>
    <col min="3336" max="3336" width="22.7109375" style="48" customWidth="1"/>
    <col min="3337" max="3337" width="15.42578125" style="48" customWidth="1"/>
    <col min="3338" max="3338" width="16.85546875" style="48" customWidth="1"/>
    <col min="3339" max="3339" width="16.140625" style="48" customWidth="1"/>
    <col min="3340" max="3341" width="14.140625" style="48" customWidth="1"/>
    <col min="3342" max="3342" width="15.5703125" style="48" customWidth="1"/>
    <col min="3343" max="3343" width="14.7109375" style="48" customWidth="1"/>
    <col min="3344" max="3344" width="15.42578125" style="48" customWidth="1"/>
    <col min="3345" max="3345" width="12" style="48" customWidth="1"/>
    <col min="3346" max="3346" width="13.42578125" style="48" customWidth="1"/>
    <col min="3347" max="3347" width="6.5703125" style="48" customWidth="1"/>
    <col min="3348" max="3354" width="11.42578125" style="48"/>
    <col min="3355" max="3355" width="13.42578125" style="48" bestFit="1" customWidth="1"/>
    <col min="3356" max="3356" width="11.42578125" style="48"/>
    <col min="3357" max="3357" width="12" style="48" bestFit="1" customWidth="1"/>
    <col min="3358" max="3585" width="11.42578125" style="48"/>
    <col min="3586" max="3586" width="25.42578125" style="48" customWidth="1"/>
    <col min="3587" max="3587" width="24" style="48" customWidth="1"/>
    <col min="3588" max="3588" width="16.140625" style="48" customWidth="1"/>
    <col min="3589" max="3589" width="22.5703125" style="48" customWidth="1"/>
    <col min="3590" max="3590" width="20.7109375" style="48" customWidth="1"/>
    <col min="3591" max="3591" width="27.7109375" style="48" customWidth="1"/>
    <col min="3592" max="3592" width="22.7109375" style="48" customWidth="1"/>
    <col min="3593" max="3593" width="15.42578125" style="48" customWidth="1"/>
    <col min="3594" max="3594" width="16.85546875" style="48" customWidth="1"/>
    <col min="3595" max="3595" width="16.140625" style="48" customWidth="1"/>
    <col min="3596" max="3597" width="14.140625" style="48" customWidth="1"/>
    <col min="3598" max="3598" width="15.5703125" style="48" customWidth="1"/>
    <col min="3599" max="3599" width="14.7109375" style="48" customWidth="1"/>
    <col min="3600" max="3600" width="15.42578125" style="48" customWidth="1"/>
    <col min="3601" max="3601" width="12" style="48" customWidth="1"/>
    <col min="3602" max="3602" width="13.42578125" style="48" customWidth="1"/>
    <col min="3603" max="3603" width="6.5703125" style="48" customWidth="1"/>
    <col min="3604" max="3610" width="11.42578125" style="48"/>
    <col min="3611" max="3611" width="13.42578125" style="48" bestFit="1" customWidth="1"/>
    <col min="3612" max="3612" width="11.42578125" style="48"/>
    <col min="3613" max="3613" width="12" style="48" bestFit="1" customWidth="1"/>
    <col min="3614" max="3841" width="11.42578125" style="48"/>
    <col min="3842" max="3842" width="25.42578125" style="48" customWidth="1"/>
    <col min="3843" max="3843" width="24" style="48" customWidth="1"/>
    <col min="3844" max="3844" width="16.140625" style="48" customWidth="1"/>
    <col min="3845" max="3845" width="22.5703125" style="48" customWidth="1"/>
    <col min="3846" max="3846" width="20.7109375" style="48" customWidth="1"/>
    <col min="3847" max="3847" width="27.7109375" style="48" customWidth="1"/>
    <col min="3848" max="3848" width="22.7109375" style="48" customWidth="1"/>
    <col min="3849" max="3849" width="15.42578125" style="48" customWidth="1"/>
    <col min="3850" max="3850" width="16.85546875" style="48" customWidth="1"/>
    <col min="3851" max="3851" width="16.140625" style="48" customWidth="1"/>
    <col min="3852" max="3853" width="14.140625" style="48" customWidth="1"/>
    <col min="3854" max="3854" width="15.5703125" style="48" customWidth="1"/>
    <col min="3855" max="3855" width="14.7109375" style="48" customWidth="1"/>
    <col min="3856" max="3856" width="15.42578125" style="48" customWidth="1"/>
    <col min="3857" max="3857" width="12" style="48" customWidth="1"/>
    <col min="3858" max="3858" width="13.42578125" style="48" customWidth="1"/>
    <col min="3859" max="3859" width="6.5703125" style="48" customWidth="1"/>
    <col min="3860" max="3866" width="11.42578125" style="48"/>
    <col min="3867" max="3867" width="13.42578125" style="48" bestFit="1" customWidth="1"/>
    <col min="3868" max="3868" width="11.42578125" style="48"/>
    <col min="3869" max="3869" width="12" style="48" bestFit="1" customWidth="1"/>
    <col min="3870" max="4097" width="11.42578125" style="48"/>
    <col min="4098" max="4098" width="25.42578125" style="48" customWidth="1"/>
    <col min="4099" max="4099" width="24" style="48" customWidth="1"/>
    <col min="4100" max="4100" width="16.140625" style="48" customWidth="1"/>
    <col min="4101" max="4101" width="22.5703125" style="48" customWidth="1"/>
    <col min="4102" max="4102" width="20.7109375" style="48" customWidth="1"/>
    <col min="4103" max="4103" width="27.7109375" style="48" customWidth="1"/>
    <col min="4104" max="4104" width="22.7109375" style="48" customWidth="1"/>
    <col min="4105" max="4105" width="15.42578125" style="48" customWidth="1"/>
    <col min="4106" max="4106" width="16.85546875" style="48" customWidth="1"/>
    <col min="4107" max="4107" width="16.140625" style="48" customWidth="1"/>
    <col min="4108" max="4109" width="14.140625" style="48" customWidth="1"/>
    <col min="4110" max="4110" width="15.5703125" style="48" customWidth="1"/>
    <col min="4111" max="4111" width="14.7109375" style="48" customWidth="1"/>
    <col min="4112" max="4112" width="15.42578125" style="48" customWidth="1"/>
    <col min="4113" max="4113" width="12" style="48" customWidth="1"/>
    <col min="4114" max="4114" width="13.42578125" style="48" customWidth="1"/>
    <col min="4115" max="4115" width="6.5703125" style="48" customWidth="1"/>
    <col min="4116" max="4122" width="11.42578125" style="48"/>
    <col min="4123" max="4123" width="13.42578125" style="48" bestFit="1" customWidth="1"/>
    <col min="4124" max="4124" width="11.42578125" style="48"/>
    <col min="4125" max="4125" width="12" style="48" bestFit="1" customWidth="1"/>
    <col min="4126" max="4353" width="11.42578125" style="48"/>
    <col min="4354" max="4354" width="25.42578125" style="48" customWidth="1"/>
    <col min="4355" max="4355" width="24" style="48" customWidth="1"/>
    <col min="4356" max="4356" width="16.140625" style="48" customWidth="1"/>
    <col min="4357" max="4357" width="22.5703125" style="48" customWidth="1"/>
    <col min="4358" max="4358" width="20.7109375" style="48" customWidth="1"/>
    <col min="4359" max="4359" width="27.7109375" style="48" customWidth="1"/>
    <col min="4360" max="4360" width="22.7109375" style="48" customWidth="1"/>
    <col min="4361" max="4361" width="15.42578125" style="48" customWidth="1"/>
    <col min="4362" max="4362" width="16.85546875" style="48" customWidth="1"/>
    <col min="4363" max="4363" width="16.140625" style="48" customWidth="1"/>
    <col min="4364" max="4365" width="14.140625" style="48" customWidth="1"/>
    <col min="4366" max="4366" width="15.5703125" style="48" customWidth="1"/>
    <col min="4367" max="4367" width="14.7109375" style="48" customWidth="1"/>
    <col min="4368" max="4368" width="15.42578125" style="48" customWidth="1"/>
    <col min="4369" max="4369" width="12" style="48" customWidth="1"/>
    <col min="4370" max="4370" width="13.42578125" style="48" customWidth="1"/>
    <col min="4371" max="4371" width="6.5703125" style="48" customWidth="1"/>
    <col min="4372" max="4378" width="11.42578125" style="48"/>
    <col min="4379" max="4379" width="13.42578125" style="48" bestFit="1" customWidth="1"/>
    <col min="4380" max="4380" width="11.42578125" style="48"/>
    <col min="4381" max="4381" width="12" style="48" bestFit="1" customWidth="1"/>
    <col min="4382" max="4609" width="11.42578125" style="48"/>
    <col min="4610" max="4610" width="25.42578125" style="48" customWidth="1"/>
    <col min="4611" max="4611" width="24" style="48" customWidth="1"/>
    <col min="4612" max="4612" width="16.140625" style="48" customWidth="1"/>
    <col min="4613" max="4613" width="22.5703125" style="48" customWidth="1"/>
    <col min="4614" max="4614" width="20.7109375" style="48" customWidth="1"/>
    <col min="4615" max="4615" width="27.7109375" style="48" customWidth="1"/>
    <col min="4616" max="4616" width="22.7109375" style="48" customWidth="1"/>
    <col min="4617" max="4617" width="15.42578125" style="48" customWidth="1"/>
    <col min="4618" max="4618" width="16.85546875" style="48" customWidth="1"/>
    <col min="4619" max="4619" width="16.140625" style="48" customWidth="1"/>
    <col min="4620" max="4621" width="14.140625" style="48" customWidth="1"/>
    <col min="4622" max="4622" width="15.5703125" style="48" customWidth="1"/>
    <col min="4623" max="4623" width="14.7109375" style="48" customWidth="1"/>
    <col min="4624" max="4624" width="15.42578125" style="48" customWidth="1"/>
    <col min="4625" max="4625" width="12" style="48" customWidth="1"/>
    <col min="4626" max="4626" width="13.42578125" style="48" customWidth="1"/>
    <col min="4627" max="4627" width="6.5703125" style="48" customWidth="1"/>
    <col min="4628" max="4634" width="11.42578125" style="48"/>
    <col min="4635" max="4635" width="13.42578125" style="48" bestFit="1" customWidth="1"/>
    <col min="4636" max="4636" width="11.42578125" style="48"/>
    <col min="4637" max="4637" width="12" style="48" bestFit="1" customWidth="1"/>
    <col min="4638" max="4865" width="11.42578125" style="48"/>
    <col min="4866" max="4866" width="25.42578125" style="48" customWidth="1"/>
    <col min="4867" max="4867" width="24" style="48" customWidth="1"/>
    <col min="4868" max="4868" width="16.140625" style="48" customWidth="1"/>
    <col min="4869" max="4869" width="22.5703125" style="48" customWidth="1"/>
    <col min="4870" max="4870" width="20.7109375" style="48" customWidth="1"/>
    <col min="4871" max="4871" width="27.7109375" style="48" customWidth="1"/>
    <col min="4872" max="4872" width="22.7109375" style="48" customWidth="1"/>
    <col min="4873" max="4873" width="15.42578125" style="48" customWidth="1"/>
    <col min="4874" max="4874" width="16.85546875" style="48" customWidth="1"/>
    <col min="4875" max="4875" width="16.140625" style="48" customWidth="1"/>
    <col min="4876" max="4877" width="14.140625" style="48" customWidth="1"/>
    <col min="4878" max="4878" width="15.5703125" style="48" customWidth="1"/>
    <col min="4879" max="4879" width="14.7109375" style="48" customWidth="1"/>
    <col min="4880" max="4880" width="15.42578125" style="48" customWidth="1"/>
    <col min="4881" max="4881" width="12" style="48" customWidth="1"/>
    <col min="4882" max="4882" width="13.42578125" style="48" customWidth="1"/>
    <col min="4883" max="4883" width="6.5703125" style="48" customWidth="1"/>
    <col min="4884" max="4890" width="11.42578125" style="48"/>
    <col min="4891" max="4891" width="13.42578125" style="48" bestFit="1" customWidth="1"/>
    <col min="4892" max="4892" width="11.42578125" style="48"/>
    <col min="4893" max="4893" width="12" style="48" bestFit="1" customWidth="1"/>
    <col min="4894" max="5121" width="11.42578125" style="48"/>
    <col min="5122" max="5122" width="25.42578125" style="48" customWidth="1"/>
    <col min="5123" max="5123" width="24" style="48" customWidth="1"/>
    <col min="5124" max="5124" width="16.140625" style="48" customWidth="1"/>
    <col min="5125" max="5125" width="22.5703125" style="48" customWidth="1"/>
    <col min="5126" max="5126" width="20.7109375" style="48" customWidth="1"/>
    <col min="5127" max="5127" width="27.7109375" style="48" customWidth="1"/>
    <col min="5128" max="5128" width="22.7109375" style="48" customWidth="1"/>
    <col min="5129" max="5129" width="15.42578125" style="48" customWidth="1"/>
    <col min="5130" max="5130" width="16.85546875" style="48" customWidth="1"/>
    <col min="5131" max="5131" width="16.140625" style="48" customWidth="1"/>
    <col min="5132" max="5133" width="14.140625" style="48" customWidth="1"/>
    <col min="5134" max="5134" width="15.5703125" style="48" customWidth="1"/>
    <col min="5135" max="5135" width="14.7109375" style="48" customWidth="1"/>
    <col min="5136" max="5136" width="15.42578125" style="48" customWidth="1"/>
    <col min="5137" max="5137" width="12" style="48" customWidth="1"/>
    <col min="5138" max="5138" width="13.42578125" style="48" customWidth="1"/>
    <col min="5139" max="5139" width="6.5703125" style="48" customWidth="1"/>
    <col min="5140" max="5146" width="11.42578125" style="48"/>
    <col min="5147" max="5147" width="13.42578125" style="48" bestFit="1" customWidth="1"/>
    <col min="5148" max="5148" width="11.42578125" style="48"/>
    <col min="5149" max="5149" width="12" style="48" bestFit="1" customWidth="1"/>
    <col min="5150" max="5377" width="11.42578125" style="48"/>
    <col min="5378" max="5378" width="25.42578125" style="48" customWidth="1"/>
    <col min="5379" max="5379" width="24" style="48" customWidth="1"/>
    <col min="5380" max="5380" width="16.140625" style="48" customWidth="1"/>
    <col min="5381" max="5381" width="22.5703125" style="48" customWidth="1"/>
    <col min="5382" max="5382" width="20.7109375" style="48" customWidth="1"/>
    <col min="5383" max="5383" width="27.7109375" style="48" customWidth="1"/>
    <col min="5384" max="5384" width="22.7109375" style="48" customWidth="1"/>
    <col min="5385" max="5385" width="15.42578125" style="48" customWidth="1"/>
    <col min="5386" max="5386" width="16.85546875" style="48" customWidth="1"/>
    <col min="5387" max="5387" width="16.140625" style="48" customWidth="1"/>
    <col min="5388" max="5389" width="14.140625" style="48" customWidth="1"/>
    <col min="5390" max="5390" width="15.5703125" style="48" customWidth="1"/>
    <col min="5391" max="5391" width="14.7109375" style="48" customWidth="1"/>
    <col min="5392" max="5392" width="15.42578125" style="48" customWidth="1"/>
    <col min="5393" max="5393" width="12" style="48" customWidth="1"/>
    <col min="5394" max="5394" width="13.42578125" style="48" customWidth="1"/>
    <col min="5395" max="5395" width="6.5703125" style="48" customWidth="1"/>
    <col min="5396" max="5402" width="11.42578125" style="48"/>
    <col min="5403" max="5403" width="13.42578125" style="48" bestFit="1" customWidth="1"/>
    <col min="5404" max="5404" width="11.42578125" style="48"/>
    <col min="5405" max="5405" width="12" style="48" bestFit="1" customWidth="1"/>
    <col min="5406" max="5633" width="11.42578125" style="48"/>
    <col min="5634" max="5634" width="25.42578125" style="48" customWidth="1"/>
    <col min="5635" max="5635" width="24" style="48" customWidth="1"/>
    <col min="5636" max="5636" width="16.140625" style="48" customWidth="1"/>
    <col min="5637" max="5637" width="22.5703125" style="48" customWidth="1"/>
    <col min="5638" max="5638" width="20.7109375" style="48" customWidth="1"/>
    <col min="5639" max="5639" width="27.7109375" style="48" customWidth="1"/>
    <col min="5640" max="5640" width="22.7109375" style="48" customWidth="1"/>
    <col min="5641" max="5641" width="15.42578125" style="48" customWidth="1"/>
    <col min="5642" max="5642" width="16.85546875" style="48" customWidth="1"/>
    <col min="5643" max="5643" width="16.140625" style="48" customWidth="1"/>
    <col min="5644" max="5645" width="14.140625" style="48" customWidth="1"/>
    <col min="5646" max="5646" width="15.5703125" style="48" customWidth="1"/>
    <col min="5647" max="5647" width="14.7109375" style="48" customWidth="1"/>
    <col min="5648" max="5648" width="15.42578125" style="48" customWidth="1"/>
    <col min="5649" max="5649" width="12" style="48" customWidth="1"/>
    <col min="5650" max="5650" width="13.42578125" style="48" customWidth="1"/>
    <col min="5651" max="5651" width="6.5703125" style="48" customWidth="1"/>
    <col min="5652" max="5658" width="11.42578125" style="48"/>
    <col min="5659" max="5659" width="13.42578125" style="48" bestFit="1" customWidth="1"/>
    <col min="5660" max="5660" width="11.42578125" style="48"/>
    <col min="5661" max="5661" width="12" style="48" bestFit="1" customWidth="1"/>
    <col min="5662" max="5889" width="11.42578125" style="48"/>
    <col min="5890" max="5890" width="25.42578125" style="48" customWidth="1"/>
    <col min="5891" max="5891" width="24" style="48" customWidth="1"/>
    <col min="5892" max="5892" width="16.140625" style="48" customWidth="1"/>
    <col min="5893" max="5893" width="22.5703125" style="48" customWidth="1"/>
    <col min="5894" max="5894" width="20.7109375" style="48" customWidth="1"/>
    <col min="5895" max="5895" width="27.7109375" style="48" customWidth="1"/>
    <col min="5896" max="5896" width="22.7109375" style="48" customWidth="1"/>
    <col min="5897" max="5897" width="15.42578125" style="48" customWidth="1"/>
    <col min="5898" max="5898" width="16.85546875" style="48" customWidth="1"/>
    <col min="5899" max="5899" width="16.140625" style="48" customWidth="1"/>
    <col min="5900" max="5901" width="14.140625" style="48" customWidth="1"/>
    <col min="5902" max="5902" width="15.5703125" style="48" customWidth="1"/>
    <col min="5903" max="5903" width="14.7109375" style="48" customWidth="1"/>
    <col min="5904" max="5904" width="15.42578125" style="48" customWidth="1"/>
    <col min="5905" max="5905" width="12" style="48" customWidth="1"/>
    <col min="5906" max="5906" width="13.42578125" style="48" customWidth="1"/>
    <col min="5907" max="5907" width="6.5703125" style="48" customWidth="1"/>
    <col min="5908" max="5914" width="11.42578125" style="48"/>
    <col min="5915" max="5915" width="13.42578125" style="48" bestFit="1" customWidth="1"/>
    <col min="5916" max="5916" width="11.42578125" style="48"/>
    <col min="5917" max="5917" width="12" style="48" bestFit="1" customWidth="1"/>
    <col min="5918" max="6145" width="11.42578125" style="48"/>
    <col min="6146" max="6146" width="25.42578125" style="48" customWidth="1"/>
    <col min="6147" max="6147" width="24" style="48" customWidth="1"/>
    <col min="6148" max="6148" width="16.140625" style="48" customWidth="1"/>
    <col min="6149" max="6149" width="22.5703125" style="48" customWidth="1"/>
    <col min="6150" max="6150" width="20.7109375" style="48" customWidth="1"/>
    <col min="6151" max="6151" width="27.7109375" style="48" customWidth="1"/>
    <col min="6152" max="6152" width="22.7109375" style="48" customWidth="1"/>
    <col min="6153" max="6153" width="15.42578125" style="48" customWidth="1"/>
    <col min="6154" max="6154" width="16.85546875" style="48" customWidth="1"/>
    <col min="6155" max="6155" width="16.140625" style="48" customWidth="1"/>
    <col min="6156" max="6157" width="14.140625" style="48" customWidth="1"/>
    <col min="6158" max="6158" width="15.5703125" style="48" customWidth="1"/>
    <col min="6159" max="6159" width="14.7109375" style="48" customWidth="1"/>
    <col min="6160" max="6160" width="15.42578125" style="48" customWidth="1"/>
    <col min="6161" max="6161" width="12" style="48" customWidth="1"/>
    <col min="6162" max="6162" width="13.42578125" style="48" customWidth="1"/>
    <col min="6163" max="6163" width="6.5703125" style="48" customWidth="1"/>
    <col min="6164" max="6170" width="11.42578125" style="48"/>
    <col min="6171" max="6171" width="13.42578125" style="48" bestFit="1" customWidth="1"/>
    <col min="6172" max="6172" width="11.42578125" style="48"/>
    <col min="6173" max="6173" width="12" style="48" bestFit="1" customWidth="1"/>
    <col min="6174" max="6401" width="11.42578125" style="48"/>
    <col min="6402" max="6402" width="25.42578125" style="48" customWidth="1"/>
    <col min="6403" max="6403" width="24" style="48" customWidth="1"/>
    <col min="6404" max="6404" width="16.140625" style="48" customWidth="1"/>
    <col min="6405" max="6405" width="22.5703125" style="48" customWidth="1"/>
    <col min="6406" max="6406" width="20.7109375" style="48" customWidth="1"/>
    <col min="6407" max="6407" width="27.7109375" style="48" customWidth="1"/>
    <col min="6408" max="6408" width="22.7109375" style="48" customWidth="1"/>
    <col min="6409" max="6409" width="15.42578125" style="48" customWidth="1"/>
    <col min="6410" max="6410" width="16.85546875" style="48" customWidth="1"/>
    <col min="6411" max="6411" width="16.140625" style="48" customWidth="1"/>
    <col min="6412" max="6413" width="14.140625" style="48" customWidth="1"/>
    <col min="6414" max="6414" width="15.5703125" style="48" customWidth="1"/>
    <col min="6415" max="6415" width="14.7109375" style="48" customWidth="1"/>
    <col min="6416" max="6416" width="15.42578125" style="48" customWidth="1"/>
    <col min="6417" max="6417" width="12" style="48" customWidth="1"/>
    <col min="6418" max="6418" width="13.42578125" style="48" customWidth="1"/>
    <col min="6419" max="6419" width="6.5703125" style="48" customWidth="1"/>
    <col min="6420" max="6426" width="11.42578125" style="48"/>
    <col min="6427" max="6427" width="13.42578125" style="48" bestFit="1" customWidth="1"/>
    <col min="6428" max="6428" width="11.42578125" style="48"/>
    <col min="6429" max="6429" width="12" style="48" bestFit="1" customWidth="1"/>
    <col min="6430" max="6657" width="11.42578125" style="48"/>
    <col min="6658" max="6658" width="25.42578125" style="48" customWidth="1"/>
    <col min="6659" max="6659" width="24" style="48" customWidth="1"/>
    <col min="6660" max="6660" width="16.140625" style="48" customWidth="1"/>
    <col min="6661" max="6661" width="22.5703125" style="48" customWidth="1"/>
    <col min="6662" max="6662" width="20.7109375" style="48" customWidth="1"/>
    <col min="6663" max="6663" width="27.7109375" style="48" customWidth="1"/>
    <col min="6664" max="6664" width="22.7109375" style="48" customWidth="1"/>
    <col min="6665" max="6665" width="15.42578125" style="48" customWidth="1"/>
    <col min="6666" max="6666" width="16.85546875" style="48" customWidth="1"/>
    <col min="6667" max="6667" width="16.140625" style="48" customWidth="1"/>
    <col min="6668" max="6669" width="14.140625" style="48" customWidth="1"/>
    <col min="6670" max="6670" width="15.5703125" style="48" customWidth="1"/>
    <col min="6671" max="6671" width="14.7109375" style="48" customWidth="1"/>
    <col min="6672" max="6672" width="15.42578125" style="48" customWidth="1"/>
    <col min="6673" max="6673" width="12" style="48" customWidth="1"/>
    <col min="6674" max="6674" width="13.42578125" style="48" customWidth="1"/>
    <col min="6675" max="6675" width="6.5703125" style="48" customWidth="1"/>
    <col min="6676" max="6682" width="11.42578125" style="48"/>
    <col min="6683" max="6683" width="13.42578125" style="48" bestFit="1" customWidth="1"/>
    <col min="6684" max="6684" width="11.42578125" style="48"/>
    <col min="6685" max="6685" width="12" style="48" bestFit="1" customWidth="1"/>
    <col min="6686" max="6913" width="11.42578125" style="48"/>
    <col min="6914" max="6914" width="25.42578125" style="48" customWidth="1"/>
    <col min="6915" max="6915" width="24" style="48" customWidth="1"/>
    <col min="6916" max="6916" width="16.140625" style="48" customWidth="1"/>
    <col min="6917" max="6917" width="22.5703125" style="48" customWidth="1"/>
    <col min="6918" max="6918" width="20.7109375" style="48" customWidth="1"/>
    <col min="6919" max="6919" width="27.7109375" style="48" customWidth="1"/>
    <col min="6920" max="6920" width="22.7109375" style="48" customWidth="1"/>
    <col min="6921" max="6921" width="15.42578125" style="48" customWidth="1"/>
    <col min="6922" max="6922" width="16.85546875" style="48" customWidth="1"/>
    <col min="6923" max="6923" width="16.140625" style="48" customWidth="1"/>
    <col min="6924" max="6925" width="14.140625" style="48" customWidth="1"/>
    <col min="6926" max="6926" width="15.5703125" style="48" customWidth="1"/>
    <col min="6927" max="6927" width="14.7109375" style="48" customWidth="1"/>
    <col min="6928" max="6928" width="15.42578125" style="48" customWidth="1"/>
    <col min="6929" max="6929" width="12" style="48" customWidth="1"/>
    <col min="6930" max="6930" width="13.42578125" style="48" customWidth="1"/>
    <col min="6931" max="6931" width="6.5703125" style="48" customWidth="1"/>
    <col min="6932" max="6938" width="11.42578125" style="48"/>
    <col min="6939" max="6939" width="13.42578125" style="48" bestFit="1" customWidth="1"/>
    <col min="6940" max="6940" width="11.42578125" style="48"/>
    <col min="6941" max="6941" width="12" style="48" bestFit="1" customWidth="1"/>
    <col min="6942" max="7169" width="11.42578125" style="48"/>
    <col min="7170" max="7170" width="25.42578125" style="48" customWidth="1"/>
    <col min="7171" max="7171" width="24" style="48" customWidth="1"/>
    <col min="7172" max="7172" width="16.140625" style="48" customWidth="1"/>
    <col min="7173" max="7173" width="22.5703125" style="48" customWidth="1"/>
    <col min="7174" max="7174" width="20.7109375" style="48" customWidth="1"/>
    <col min="7175" max="7175" width="27.7109375" style="48" customWidth="1"/>
    <col min="7176" max="7176" width="22.7109375" style="48" customWidth="1"/>
    <col min="7177" max="7177" width="15.42578125" style="48" customWidth="1"/>
    <col min="7178" max="7178" width="16.85546875" style="48" customWidth="1"/>
    <col min="7179" max="7179" width="16.140625" style="48" customWidth="1"/>
    <col min="7180" max="7181" width="14.140625" style="48" customWidth="1"/>
    <col min="7182" max="7182" width="15.5703125" style="48" customWidth="1"/>
    <col min="7183" max="7183" width="14.7109375" style="48" customWidth="1"/>
    <col min="7184" max="7184" width="15.42578125" style="48" customWidth="1"/>
    <col min="7185" max="7185" width="12" style="48" customWidth="1"/>
    <col min="7186" max="7186" width="13.42578125" style="48" customWidth="1"/>
    <col min="7187" max="7187" width="6.5703125" style="48" customWidth="1"/>
    <col min="7188" max="7194" width="11.42578125" style="48"/>
    <col min="7195" max="7195" width="13.42578125" style="48" bestFit="1" customWidth="1"/>
    <col min="7196" max="7196" width="11.42578125" style="48"/>
    <col min="7197" max="7197" width="12" style="48" bestFit="1" customWidth="1"/>
    <col min="7198" max="7425" width="11.42578125" style="48"/>
    <col min="7426" max="7426" width="25.42578125" style="48" customWidth="1"/>
    <col min="7427" max="7427" width="24" style="48" customWidth="1"/>
    <col min="7428" max="7428" width="16.140625" style="48" customWidth="1"/>
    <col min="7429" max="7429" width="22.5703125" style="48" customWidth="1"/>
    <col min="7430" max="7430" width="20.7109375" style="48" customWidth="1"/>
    <col min="7431" max="7431" width="27.7109375" style="48" customWidth="1"/>
    <col min="7432" max="7432" width="22.7109375" style="48" customWidth="1"/>
    <col min="7433" max="7433" width="15.42578125" style="48" customWidth="1"/>
    <col min="7434" max="7434" width="16.85546875" style="48" customWidth="1"/>
    <col min="7435" max="7435" width="16.140625" style="48" customWidth="1"/>
    <col min="7436" max="7437" width="14.140625" style="48" customWidth="1"/>
    <col min="7438" max="7438" width="15.5703125" style="48" customWidth="1"/>
    <col min="7439" max="7439" width="14.7109375" style="48" customWidth="1"/>
    <col min="7440" max="7440" width="15.42578125" style="48" customWidth="1"/>
    <col min="7441" max="7441" width="12" style="48" customWidth="1"/>
    <col min="7442" max="7442" width="13.42578125" style="48" customWidth="1"/>
    <col min="7443" max="7443" width="6.5703125" style="48" customWidth="1"/>
    <col min="7444" max="7450" width="11.42578125" style="48"/>
    <col min="7451" max="7451" width="13.42578125" style="48" bestFit="1" customWidth="1"/>
    <col min="7452" max="7452" width="11.42578125" style="48"/>
    <col min="7453" max="7453" width="12" style="48" bestFit="1" customWidth="1"/>
    <col min="7454" max="7681" width="11.42578125" style="48"/>
    <col min="7682" max="7682" width="25.42578125" style="48" customWidth="1"/>
    <col min="7683" max="7683" width="24" style="48" customWidth="1"/>
    <col min="7684" max="7684" width="16.140625" style="48" customWidth="1"/>
    <col min="7685" max="7685" width="22.5703125" style="48" customWidth="1"/>
    <col min="7686" max="7686" width="20.7109375" style="48" customWidth="1"/>
    <col min="7687" max="7687" width="27.7109375" style="48" customWidth="1"/>
    <col min="7688" max="7688" width="22.7109375" style="48" customWidth="1"/>
    <col min="7689" max="7689" width="15.42578125" style="48" customWidth="1"/>
    <col min="7690" max="7690" width="16.85546875" style="48" customWidth="1"/>
    <col min="7691" max="7691" width="16.140625" style="48" customWidth="1"/>
    <col min="7692" max="7693" width="14.140625" style="48" customWidth="1"/>
    <col min="7694" max="7694" width="15.5703125" style="48" customWidth="1"/>
    <col min="7695" max="7695" width="14.7109375" style="48" customWidth="1"/>
    <col min="7696" max="7696" width="15.42578125" style="48" customWidth="1"/>
    <col min="7697" max="7697" width="12" style="48" customWidth="1"/>
    <col min="7698" max="7698" width="13.42578125" style="48" customWidth="1"/>
    <col min="7699" max="7699" width="6.5703125" style="48" customWidth="1"/>
    <col min="7700" max="7706" width="11.42578125" style="48"/>
    <col min="7707" max="7707" width="13.42578125" style="48" bestFit="1" customWidth="1"/>
    <col min="7708" max="7708" width="11.42578125" style="48"/>
    <col min="7709" max="7709" width="12" style="48" bestFit="1" customWidth="1"/>
    <col min="7710" max="7937" width="11.42578125" style="48"/>
    <col min="7938" max="7938" width="25.42578125" style="48" customWidth="1"/>
    <col min="7939" max="7939" width="24" style="48" customWidth="1"/>
    <col min="7940" max="7940" width="16.140625" style="48" customWidth="1"/>
    <col min="7941" max="7941" width="22.5703125" style="48" customWidth="1"/>
    <col min="7942" max="7942" width="20.7109375" style="48" customWidth="1"/>
    <col min="7943" max="7943" width="27.7109375" style="48" customWidth="1"/>
    <col min="7944" max="7944" width="22.7109375" style="48" customWidth="1"/>
    <col min="7945" max="7945" width="15.42578125" style="48" customWidth="1"/>
    <col min="7946" max="7946" width="16.85546875" style="48" customWidth="1"/>
    <col min="7947" max="7947" width="16.140625" style="48" customWidth="1"/>
    <col min="7948" max="7949" width="14.140625" style="48" customWidth="1"/>
    <col min="7950" max="7950" width="15.5703125" style="48" customWidth="1"/>
    <col min="7951" max="7951" width="14.7109375" style="48" customWidth="1"/>
    <col min="7952" max="7952" width="15.42578125" style="48" customWidth="1"/>
    <col min="7953" max="7953" width="12" style="48" customWidth="1"/>
    <col min="7954" max="7954" width="13.42578125" style="48" customWidth="1"/>
    <col min="7955" max="7955" width="6.5703125" style="48" customWidth="1"/>
    <col min="7956" max="7962" width="11.42578125" style="48"/>
    <col min="7963" max="7963" width="13.42578125" style="48" bestFit="1" customWidth="1"/>
    <col min="7964" max="7964" width="11.42578125" style="48"/>
    <col min="7965" max="7965" width="12" style="48" bestFit="1" customWidth="1"/>
    <col min="7966" max="8193" width="11.42578125" style="48"/>
    <col min="8194" max="8194" width="25.42578125" style="48" customWidth="1"/>
    <col min="8195" max="8195" width="24" style="48" customWidth="1"/>
    <col min="8196" max="8196" width="16.140625" style="48" customWidth="1"/>
    <col min="8197" max="8197" width="22.5703125" style="48" customWidth="1"/>
    <col min="8198" max="8198" width="20.7109375" style="48" customWidth="1"/>
    <col min="8199" max="8199" width="27.7109375" style="48" customWidth="1"/>
    <col min="8200" max="8200" width="22.7109375" style="48" customWidth="1"/>
    <col min="8201" max="8201" width="15.42578125" style="48" customWidth="1"/>
    <col min="8202" max="8202" width="16.85546875" style="48" customWidth="1"/>
    <col min="8203" max="8203" width="16.140625" style="48" customWidth="1"/>
    <col min="8204" max="8205" width="14.140625" style="48" customWidth="1"/>
    <col min="8206" max="8206" width="15.5703125" style="48" customWidth="1"/>
    <col min="8207" max="8207" width="14.7109375" style="48" customWidth="1"/>
    <col min="8208" max="8208" width="15.42578125" style="48" customWidth="1"/>
    <col min="8209" max="8209" width="12" style="48" customWidth="1"/>
    <col min="8210" max="8210" width="13.42578125" style="48" customWidth="1"/>
    <col min="8211" max="8211" width="6.5703125" style="48" customWidth="1"/>
    <col min="8212" max="8218" width="11.42578125" style="48"/>
    <col min="8219" max="8219" width="13.42578125" style="48" bestFit="1" customWidth="1"/>
    <col min="8220" max="8220" width="11.42578125" style="48"/>
    <col min="8221" max="8221" width="12" style="48" bestFit="1" customWidth="1"/>
    <col min="8222" max="8449" width="11.42578125" style="48"/>
    <col min="8450" max="8450" width="25.42578125" style="48" customWidth="1"/>
    <col min="8451" max="8451" width="24" style="48" customWidth="1"/>
    <col min="8452" max="8452" width="16.140625" style="48" customWidth="1"/>
    <col min="8453" max="8453" width="22.5703125" style="48" customWidth="1"/>
    <col min="8454" max="8454" width="20.7109375" style="48" customWidth="1"/>
    <col min="8455" max="8455" width="27.7109375" style="48" customWidth="1"/>
    <col min="8456" max="8456" width="22.7109375" style="48" customWidth="1"/>
    <col min="8457" max="8457" width="15.42578125" style="48" customWidth="1"/>
    <col min="8458" max="8458" width="16.85546875" style="48" customWidth="1"/>
    <col min="8459" max="8459" width="16.140625" style="48" customWidth="1"/>
    <col min="8460" max="8461" width="14.140625" style="48" customWidth="1"/>
    <col min="8462" max="8462" width="15.5703125" style="48" customWidth="1"/>
    <col min="8463" max="8463" width="14.7109375" style="48" customWidth="1"/>
    <col min="8464" max="8464" width="15.42578125" style="48" customWidth="1"/>
    <col min="8465" max="8465" width="12" style="48" customWidth="1"/>
    <col min="8466" max="8466" width="13.42578125" style="48" customWidth="1"/>
    <col min="8467" max="8467" width="6.5703125" style="48" customWidth="1"/>
    <col min="8468" max="8474" width="11.42578125" style="48"/>
    <col min="8475" max="8475" width="13.42578125" style="48" bestFit="1" customWidth="1"/>
    <col min="8476" max="8476" width="11.42578125" style="48"/>
    <col min="8477" max="8477" width="12" style="48" bestFit="1" customWidth="1"/>
    <col min="8478" max="8705" width="11.42578125" style="48"/>
    <col min="8706" max="8706" width="25.42578125" style="48" customWidth="1"/>
    <col min="8707" max="8707" width="24" style="48" customWidth="1"/>
    <col min="8708" max="8708" width="16.140625" style="48" customWidth="1"/>
    <col min="8709" max="8709" width="22.5703125" style="48" customWidth="1"/>
    <col min="8710" max="8710" width="20.7109375" style="48" customWidth="1"/>
    <col min="8711" max="8711" width="27.7109375" style="48" customWidth="1"/>
    <col min="8712" max="8712" width="22.7109375" style="48" customWidth="1"/>
    <col min="8713" max="8713" width="15.42578125" style="48" customWidth="1"/>
    <col min="8714" max="8714" width="16.85546875" style="48" customWidth="1"/>
    <col min="8715" max="8715" width="16.140625" style="48" customWidth="1"/>
    <col min="8716" max="8717" width="14.140625" style="48" customWidth="1"/>
    <col min="8718" max="8718" width="15.5703125" style="48" customWidth="1"/>
    <col min="8719" max="8719" width="14.7109375" style="48" customWidth="1"/>
    <col min="8720" max="8720" width="15.42578125" style="48" customWidth="1"/>
    <col min="8721" max="8721" width="12" style="48" customWidth="1"/>
    <col min="8722" max="8722" width="13.42578125" style="48" customWidth="1"/>
    <col min="8723" max="8723" width="6.5703125" style="48" customWidth="1"/>
    <col min="8724" max="8730" width="11.42578125" style="48"/>
    <col min="8731" max="8731" width="13.42578125" style="48" bestFit="1" customWidth="1"/>
    <col min="8732" max="8732" width="11.42578125" style="48"/>
    <col min="8733" max="8733" width="12" style="48" bestFit="1" customWidth="1"/>
    <col min="8734" max="8961" width="11.42578125" style="48"/>
    <col min="8962" max="8962" width="25.42578125" style="48" customWidth="1"/>
    <col min="8963" max="8963" width="24" style="48" customWidth="1"/>
    <col min="8964" max="8964" width="16.140625" style="48" customWidth="1"/>
    <col min="8965" max="8965" width="22.5703125" style="48" customWidth="1"/>
    <col min="8966" max="8966" width="20.7109375" style="48" customWidth="1"/>
    <col min="8967" max="8967" width="27.7109375" style="48" customWidth="1"/>
    <col min="8968" max="8968" width="22.7109375" style="48" customWidth="1"/>
    <col min="8969" max="8969" width="15.42578125" style="48" customWidth="1"/>
    <col min="8970" max="8970" width="16.85546875" style="48" customWidth="1"/>
    <col min="8971" max="8971" width="16.140625" style="48" customWidth="1"/>
    <col min="8972" max="8973" width="14.140625" style="48" customWidth="1"/>
    <col min="8974" max="8974" width="15.5703125" style="48" customWidth="1"/>
    <col min="8975" max="8975" width="14.7109375" style="48" customWidth="1"/>
    <col min="8976" max="8976" width="15.42578125" style="48" customWidth="1"/>
    <col min="8977" max="8977" width="12" style="48" customWidth="1"/>
    <col min="8978" max="8978" width="13.42578125" style="48" customWidth="1"/>
    <col min="8979" max="8979" width="6.5703125" style="48" customWidth="1"/>
    <col min="8980" max="8986" width="11.42578125" style="48"/>
    <col min="8987" max="8987" width="13.42578125" style="48" bestFit="1" customWidth="1"/>
    <col min="8988" max="8988" width="11.42578125" style="48"/>
    <col min="8989" max="8989" width="12" style="48" bestFit="1" customWidth="1"/>
    <col min="8990" max="9217" width="11.42578125" style="48"/>
    <col min="9218" max="9218" width="25.42578125" style="48" customWidth="1"/>
    <col min="9219" max="9219" width="24" style="48" customWidth="1"/>
    <col min="9220" max="9220" width="16.140625" style="48" customWidth="1"/>
    <col min="9221" max="9221" width="22.5703125" style="48" customWidth="1"/>
    <col min="9222" max="9222" width="20.7109375" style="48" customWidth="1"/>
    <col min="9223" max="9223" width="27.7109375" style="48" customWidth="1"/>
    <col min="9224" max="9224" width="22.7109375" style="48" customWidth="1"/>
    <col min="9225" max="9225" width="15.42578125" style="48" customWidth="1"/>
    <col min="9226" max="9226" width="16.85546875" style="48" customWidth="1"/>
    <col min="9227" max="9227" width="16.140625" style="48" customWidth="1"/>
    <col min="9228" max="9229" width="14.140625" style="48" customWidth="1"/>
    <col min="9230" max="9230" width="15.5703125" style="48" customWidth="1"/>
    <col min="9231" max="9231" width="14.7109375" style="48" customWidth="1"/>
    <col min="9232" max="9232" width="15.42578125" style="48" customWidth="1"/>
    <col min="9233" max="9233" width="12" style="48" customWidth="1"/>
    <col min="9234" max="9234" width="13.42578125" style="48" customWidth="1"/>
    <col min="9235" max="9235" width="6.5703125" style="48" customWidth="1"/>
    <col min="9236" max="9242" width="11.42578125" style="48"/>
    <col min="9243" max="9243" width="13.42578125" style="48" bestFit="1" customWidth="1"/>
    <col min="9244" max="9244" width="11.42578125" style="48"/>
    <col min="9245" max="9245" width="12" style="48" bestFit="1" customWidth="1"/>
    <col min="9246" max="9473" width="11.42578125" style="48"/>
    <col min="9474" max="9474" width="25.42578125" style="48" customWidth="1"/>
    <col min="9475" max="9475" width="24" style="48" customWidth="1"/>
    <col min="9476" max="9476" width="16.140625" style="48" customWidth="1"/>
    <col min="9477" max="9477" width="22.5703125" style="48" customWidth="1"/>
    <col min="9478" max="9478" width="20.7109375" style="48" customWidth="1"/>
    <col min="9479" max="9479" width="27.7109375" style="48" customWidth="1"/>
    <col min="9480" max="9480" width="22.7109375" style="48" customWidth="1"/>
    <col min="9481" max="9481" width="15.42578125" style="48" customWidth="1"/>
    <col min="9482" max="9482" width="16.85546875" style="48" customWidth="1"/>
    <col min="9483" max="9483" width="16.140625" style="48" customWidth="1"/>
    <col min="9484" max="9485" width="14.140625" style="48" customWidth="1"/>
    <col min="9486" max="9486" width="15.5703125" style="48" customWidth="1"/>
    <col min="9487" max="9487" width="14.7109375" style="48" customWidth="1"/>
    <col min="9488" max="9488" width="15.42578125" style="48" customWidth="1"/>
    <col min="9489" max="9489" width="12" style="48" customWidth="1"/>
    <col min="9490" max="9490" width="13.42578125" style="48" customWidth="1"/>
    <col min="9491" max="9491" width="6.5703125" style="48" customWidth="1"/>
    <col min="9492" max="9498" width="11.42578125" style="48"/>
    <col min="9499" max="9499" width="13.42578125" style="48" bestFit="1" customWidth="1"/>
    <col min="9500" max="9500" width="11.42578125" style="48"/>
    <col min="9501" max="9501" width="12" style="48" bestFit="1" customWidth="1"/>
    <col min="9502" max="9729" width="11.42578125" style="48"/>
    <col min="9730" max="9730" width="25.42578125" style="48" customWidth="1"/>
    <col min="9731" max="9731" width="24" style="48" customWidth="1"/>
    <col min="9732" max="9732" width="16.140625" style="48" customWidth="1"/>
    <col min="9733" max="9733" width="22.5703125" style="48" customWidth="1"/>
    <col min="9734" max="9734" width="20.7109375" style="48" customWidth="1"/>
    <col min="9735" max="9735" width="27.7109375" style="48" customWidth="1"/>
    <col min="9736" max="9736" width="22.7109375" style="48" customWidth="1"/>
    <col min="9737" max="9737" width="15.42578125" style="48" customWidth="1"/>
    <col min="9738" max="9738" width="16.85546875" style="48" customWidth="1"/>
    <col min="9739" max="9739" width="16.140625" style="48" customWidth="1"/>
    <col min="9740" max="9741" width="14.140625" style="48" customWidth="1"/>
    <col min="9742" max="9742" width="15.5703125" style="48" customWidth="1"/>
    <col min="9743" max="9743" width="14.7109375" style="48" customWidth="1"/>
    <col min="9744" max="9744" width="15.42578125" style="48" customWidth="1"/>
    <col min="9745" max="9745" width="12" style="48" customWidth="1"/>
    <col min="9746" max="9746" width="13.42578125" style="48" customWidth="1"/>
    <col min="9747" max="9747" width="6.5703125" style="48" customWidth="1"/>
    <col min="9748" max="9754" width="11.42578125" style="48"/>
    <col min="9755" max="9755" width="13.42578125" style="48" bestFit="1" customWidth="1"/>
    <col min="9756" max="9756" width="11.42578125" style="48"/>
    <col min="9757" max="9757" width="12" style="48" bestFit="1" customWidth="1"/>
    <col min="9758" max="9985" width="11.42578125" style="48"/>
    <col min="9986" max="9986" width="25.42578125" style="48" customWidth="1"/>
    <col min="9987" max="9987" width="24" style="48" customWidth="1"/>
    <col min="9988" max="9988" width="16.140625" style="48" customWidth="1"/>
    <col min="9989" max="9989" width="22.5703125" style="48" customWidth="1"/>
    <col min="9990" max="9990" width="20.7109375" style="48" customWidth="1"/>
    <col min="9991" max="9991" width="27.7109375" style="48" customWidth="1"/>
    <col min="9992" max="9992" width="22.7109375" style="48" customWidth="1"/>
    <col min="9993" max="9993" width="15.42578125" style="48" customWidth="1"/>
    <col min="9994" max="9994" width="16.85546875" style="48" customWidth="1"/>
    <col min="9995" max="9995" width="16.140625" style="48" customWidth="1"/>
    <col min="9996" max="9997" width="14.140625" style="48" customWidth="1"/>
    <col min="9998" max="9998" width="15.5703125" style="48" customWidth="1"/>
    <col min="9999" max="9999" width="14.7109375" style="48" customWidth="1"/>
    <col min="10000" max="10000" width="15.42578125" style="48" customWidth="1"/>
    <col min="10001" max="10001" width="12" style="48" customWidth="1"/>
    <col min="10002" max="10002" width="13.42578125" style="48" customWidth="1"/>
    <col min="10003" max="10003" width="6.5703125" style="48" customWidth="1"/>
    <col min="10004" max="10010" width="11.42578125" style="48"/>
    <col min="10011" max="10011" width="13.42578125" style="48" bestFit="1" customWidth="1"/>
    <col min="10012" max="10012" width="11.42578125" style="48"/>
    <col min="10013" max="10013" width="12" style="48" bestFit="1" customWidth="1"/>
    <col min="10014" max="10241" width="11.42578125" style="48"/>
    <col min="10242" max="10242" width="25.42578125" style="48" customWidth="1"/>
    <col min="10243" max="10243" width="24" style="48" customWidth="1"/>
    <col min="10244" max="10244" width="16.140625" style="48" customWidth="1"/>
    <col min="10245" max="10245" width="22.5703125" style="48" customWidth="1"/>
    <col min="10246" max="10246" width="20.7109375" style="48" customWidth="1"/>
    <col min="10247" max="10247" width="27.7109375" style="48" customWidth="1"/>
    <col min="10248" max="10248" width="22.7109375" style="48" customWidth="1"/>
    <col min="10249" max="10249" width="15.42578125" style="48" customWidth="1"/>
    <col min="10250" max="10250" width="16.85546875" style="48" customWidth="1"/>
    <col min="10251" max="10251" width="16.140625" style="48" customWidth="1"/>
    <col min="10252" max="10253" width="14.140625" style="48" customWidth="1"/>
    <col min="10254" max="10254" width="15.5703125" style="48" customWidth="1"/>
    <col min="10255" max="10255" width="14.7109375" style="48" customWidth="1"/>
    <col min="10256" max="10256" width="15.42578125" style="48" customWidth="1"/>
    <col min="10257" max="10257" width="12" style="48" customWidth="1"/>
    <col min="10258" max="10258" width="13.42578125" style="48" customWidth="1"/>
    <col min="10259" max="10259" width="6.5703125" style="48" customWidth="1"/>
    <col min="10260" max="10266" width="11.42578125" style="48"/>
    <col min="10267" max="10267" width="13.42578125" style="48" bestFit="1" customWidth="1"/>
    <col min="10268" max="10268" width="11.42578125" style="48"/>
    <col min="10269" max="10269" width="12" style="48" bestFit="1" customWidth="1"/>
    <col min="10270" max="10497" width="11.42578125" style="48"/>
    <col min="10498" max="10498" width="25.42578125" style="48" customWidth="1"/>
    <col min="10499" max="10499" width="24" style="48" customWidth="1"/>
    <col min="10500" max="10500" width="16.140625" style="48" customWidth="1"/>
    <col min="10501" max="10501" width="22.5703125" style="48" customWidth="1"/>
    <col min="10502" max="10502" width="20.7109375" style="48" customWidth="1"/>
    <col min="10503" max="10503" width="27.7109375" style="48" customWidth="1"/>
    <col min="10504" max="10504" width="22.7109375" style="48" customWidth="1"/>
    <col min="10505" max="10505" width="15.42578125" style="48" customWidth="1"/>
    <col min="10506" max="10506" width="16.85546875" style="48" customWidth="1"/>
    <col min="10507" max="10507" width="16.140625" style="48" customWidth="1"/>
    <col min="10508" max="10509" width="14.140625" style="48" customWidth="1"/>
    <col min="10510" max="10510" width="15.5703125" style="48" customWidth="1"/>
    <col min="10511" max="10511" width="14.7109375" style="48" customWidth="1"/>
    <col min="10512" max="10512" width="15.42578125" style="48" customWidth="1"/>
    <col min="10513" max="10513" width="12" style="48" customWidth="1"/>
    <col min="10514" max="10514" width="13.42578125" style="48" customWidth="1"/>
    <col min="10515" max="10515" width="6.5703125" style="48" customWidth="1"/>
    <col min="10516" max="10522" width="11.42578125" style="48"/>
    <col min="10523" max="10523" width="13.42578125" style="48" bestFit="1" customWidth="1"/>
    <col min="10524" max="10524" width="11.42578125" style="48"/>
    <col min="10525" max="10525" width="12" style="48" bestFit="1" customWidth="1"/>
    <col min="10526" max="10753" width="11.42578125" style="48"/>
    <col min="10754" max="10754" width="25.42578125" style="48" customWidth="1"/>
    <col min="10755" max="10755" width="24" style="48" customWidth="1"/>
    <col min="10756" max="10756" width="16.140625" style="48" customWidth="1"/>
    <col min="10757" max="10757" width="22.5703125" style="48" customWidth="1"/>
    <col min="10758" max="10758" width="20.7109375" style="48" customWidth="1"/>
    <col min="10759" max="10759" width="27.7109375" style="48" customWidth="1"/>
    <col min="10760" max="10760" width="22.7109375" style="48" customWidth="1"/>
    <col min="10761" max="10761" width="15.42578125" style="48" customWidth="1"/>
    <col min="10762" max="10762" width="16.85546875" style="48" customWidth="1"/>
    <col min="10763" max="10763" width="16.140625" style="48" customWidth="1"/>
    <col min="10764" max="10765" width="14.140625" style="48" customWidth="1"/>
    <col min="10766" max="10766" width="15.5703125" style="48" customWidth="1"/>
    <col min="10767" max="10767" width="14.7109375" style="48" customWidth="1"/>
    <col min="10768" max="10768" width="15.42578125" style="48" customWidth="1"/>
    <col min="10769" max="10769" width="12" style="48" customWidth="1"/>
    <col min="10770" max="10770" width="13.42578125" style="48" customWidth="1"/>
    <col min="10771" max="10771" width="6.5703125" style="48" customWidth="1"/>
    <col min="10772" max="10778" width="11.42578125" style="48"/>
    <col min="10779" max="10779" width="13.42578125" style="48" bestFit="1" customWidth="1"/>
    <col min="10780" max="10780" width="11.42578125" style="48"/>
    <col min="10781" max="10781" width="12" style="48" bestFit="1" customWidth="1"/>
    <col min="10782" max="11009" width="11.42578125" style="48"/>
    <col min="11010" max="11010" width="25.42578125" style="48" customWidth="1"/>
    <col min="11011" max="11011" width="24" style="48" customWidth="1"/>
    <col min="11012" max="11012" width="16.140625" style="48" customWidth="1"/>
    <col min="11013" max="11013" width="22.5703125" style="48" customWidth="1"/>
    <col min="11014" max="11014" width="20.7109375" style="48" customWidth="1"/>
    <col min="11015" max="11015" width="27.7109375" style="48" customWidth="1"/>
    <col min="11016" max="11016" width="22.7109375" style="48" customWidth="1"/>
    <col min="11017" max="11017" width="15.42578125" style="48" customWidth="1"/>
    <col min="11018" max="11018" width="16.85546875" style="48" customWidth="1"/>
    <col min="11019" max="11019" width="16.140625" style="48" customWidth="1"/>
    <col min="11020" max="11021" width="14.140625" style="48" customWidth="1"/>
    <col min="11022" max="11022" width="15.5703125" style="48" customWidth="1"/>
    <col min="11023" max="11023" width="14.7109375" style="48" customWidth="1"/>
    <col min="11024" max="11024" width="15.42578125" style="48" customWidth="1"/>
    <col min="11025" max="11025" width="12" style="48" customWidth="1"/>
    <col min="11026" max="11026" width="13.42578125" style="48" customWidth="1"/>
    <col min="11027" max="11027" width="6.5703125" style="48" customWidth="1"/>
    <col min="11028" max="11034" width="11.42578125" style="48"/>
    <col min="11035" max="11035" width="13.42578125" style="48" bestFit="1" customWidth="1"/>
    <col min="11036" max="11036" width="11.42578125" style="48"/>
    <col min="11037" max="11037" width="12" style="48" bestFit="1" customWidth="1"/>
    <col min="11038" max="11265" width="11.42578125" style="48"/>
    <col min="11266" max="11266" width="25.42578125" style="48" customWidth="1"/>
    <col min="11267" max="11267" width="24" style="48" customWidth="1"/>
    <col min="11268" max="11268" width="16.140625" style="48" customWidth="1"/>
    <col min="11269" max="11269" width="22.5703125" style="48" customWidth="1"/>
    <col min="11270" max="11270" width="20.7109375" style="48" customWidth="1"/>
    <col min="11271" max="11271" width="27.7109375" style="48" customWidth="1"/>
    <col min="11272" max="11272" width="22.7109375" style="48" customWidth="1"/>
    <col min="11273" max="11273" width="15.42578125" style="48" customWidth="1"/>
    <col min="11274" max="11274" width="16.85546875" style="48" customWidth="1"/>
    <col min="11275" max="11275" width="16.140625" style="48" customWidth="1"/>
    <col min="11276" max="11277" width="14.140625" style="48" customWidth="1"/>
    <col min="11278" max="11278" width="15.5703125" style="48" customWidth="1"/>
    <col min="11279" max="11279" width="14.7109375" style="48" customWidth="1"/>
    <col min="11280" max="11280" width="15.42578125" style="48" customWidth="1"/>
    <col min="11281" max="11281" width="12" style="48" customWidth="1"/>
    <col min="11282" max="11282" width="13.42578125" style="48" customWidth="1"/>
    <col min="11283" max="11283" width="6.5703125" style="48" customWidth="1"/>
    <col min="11284" max="11290" width="11.42578125" style="48"/>
    <col min="11291" max="11291" width="13.42578125" style="48" bestFit="1" customWidth="1"/>
    <col min="11292" max="11292" width="11.42578125" style="48"/>
    <col min="11293" max="11293" width="12" style="48" bestFit="1" customWidth="1"/>
    <col min="11294" max="11521" width="11.42578125" style="48"/>
    <col min="11522" max="11522" width="25.42578125" style="48" customWidth="1"/>
    <col min="11523" max="11523" width="24" style="48" customWidth="1"/>
    <col min="11524" max="11524" width="16.140625" style="48" customWidth="1"/>
    <col min="11525" max="11525" width="22.5703125" style="48" customWidth="1"/>
    <col min="11526" max="11526" width="20.7109375" style="48" customWidth="1"/>
    <col min="11527" max="11527" width="27.7109375" style="48" customWidth="1"/>
    <col min="11528" max="11528" width="22.7109375" style="48" customWidth="1"/>
    <col min="11529" max="11529" width="15.42578125" style="48" customWidth="1"/>
    <col min="11530" max="11530" width="16.85546875" style="48" customWidth="1"/>
    <col min="11531" max="11531" width="16.140625" style="48" customWidth="1"/>
    <col min="11532" max="11533" width="14.140625" style="48" customWidth="1"/>
    <col min="11534" max="11534" width="15.5703125" style="48" customWidth="1"/>
    <col min="11535" max="11535" width="14.7109375" style="48" customWidth="1"/>
    <col min="11536" max="11536" width="15.42578125" style="48" customWidth="1"/>
    <col min="11537" max="11537" width="12" style="48" customWidth="1"/>
    <col min="11538" max="11538" width="13.42578125" style="48" customWidth="1"/>
    <col min="11539" max="11539" width="6.5703125" style="48" customWidth="1"/>
    <col min="11540" max="11546" width="11.42578125" style="48"/>
    <col min="11547" max="11547" width="13.42578125" style="48" bestFit="1" customWidth="1"/>
    <col min="11548" max="11548" width="11.42578125" style="48"/>
    <col min="11549" max="11549" width="12" style="48" bestFit="1" customWidth="1"/>
    <col min="11550" max="11777" width="11.42578125" style="48"/>
    <col min="11778" max="11778" width="25.42578125" style="48" customWidth="1"/>
    <col min="11779" max="11779" width="24" style="48" customWidth="1"/>
    <col min="11780" max="11780" width="16.140625" style="48" customWidth="1"/>
    <col min="11781" max="11781" width="22.5703125" style="48" customWidth="1"/>
    <col min="11782" max="11782" width="20.7109375" style="48" customWidth="1"/>
    <col min="11783" max="11783" width="27.7109375" style="48" customWidth="1"/>
    <col min="11784" max="11784" width="22.7109375" style="48" customWidth="1"/>
    <col min="11785" max="11785" width="15.42578125" style="48" customWidth="1"/>
    <col min="11786" max="11786" width="16.85546875" style="48" customWidth="1"/>
    <col min="11787" max="11787" width="16.140625" style="48" customWidth="1"/>
    <col min="11788" max="11789" width="14.140625" style="48" customWidth="1"/>
    <col min="11790" max="11790" width="15.5703125" style="48" customWidth="1"/>
    <col min="11791" max="11791" width="14.7109375" style="48" customWidth="1"/>
    <col min="11792" max="11792" width="15.42578125" style="48" customWidth="1"/>
    <col min="11793" max="11793" width="12" style="48" customWidth="1"/>
    <col min="11794" max="11794" width="13.42578125" style="48" customWidth="1"/>
    <col min="11795" max="11795" width="6.5703125" style="48" customWidth="1"/>
    <col min="11796" max="11802" width="11.42578125" style="48"/>
    <col min="11803" max="11803" width="13.42578125" style="48" bestFit="1" customWidth="1"/>
    <col min="11804" max="11804" width="11.42578125" style="48"/>
    <col min="11805" max="11805" width="12" style="48" bestFit="1" customWidth="1"/>
    <col min="11806" max="12033" width="11.42578125" style="48"/>
    <col min="12034" max="12034" width="25.42578125" style="48" customWidth="1"/>
    <col min="12035" max="12035" width="24" style="48" customWidth="1"/>
    <col min="12036" max="12036" width="16.140625" style="48" customWidth="1"/>
    <col min="12037" max="12037" width="22.5703125" style="48" customWidth="1"/>
    <col min="12038" max="12038" width="20.7109375" style="48" customWidth="1"/>
    <col min="12039" max="12039" width="27.7109375" style="48" customWidth="1"/>
    <col min="12040" max="12040" width="22.7109375" style="48" customWidth="1"/>
    <col min="12041" max="12041" width="15.42578125" style="48" customWidth="1"/>
    <col min="12042" max="12042" width="16.85546875" style="48" customWidth="1"/>
    <col min="12043" max="12043" width="16.140625" style="48" customWidth="1"/>
    <col min="12044" max="12045" width="14.140625" style="48" customWidth="1"/>
    <col min="12046" max="12046" width="15.5703125" style="48" customWidth="1"/>
    <col min="12047" max="12047" width="14.7109375" style="48" customWidth="1"/>
    <col min="12048" max="12048" width="15.42578125" style="48" customWidth="1"/>
    <col min="12049" max="12049" width="12" style="48" customWidth="1"/>
    <col min="12050" max="12050" width="13.42578125" style="48" customWidth="1"/>
    <col min="12051" max="12051" width="6.5703125" style="48" customWidth="1"/>
    <col min="12052" max="12058" width="11.42578125" style="48"/>
    <col min="12059" max="12059" width="13.42578125" style="48" bestFit="1" customWidth="1"/>
    <col min="12060" max="12060" width="11.42578125" style="48"/>
    <col min="12061" max="12061" width="12" style="48" bestFit="1" customWidth="1"/>
    <col min="12062" max="12289" width="11.42578125" style="48"/>
    <col min="12290" max="12290" width="25.42578125" style="48" customWidth="1"/>
    <col min="12291" max="12291" width="24" style="48" customWidth="1"/>
    <col min="12292" max="12292" width="16.140625" style="48" customWidth="1"/>
    <col min="12293" max="12293" width="22.5703125" style="48" customWidth="1"/>
    <col min="12294" max="12294" width="20.7109375" style="48" customWidth="1"/>
    <col min="12295" max="12295" width="27.7109375" style="48" customWidth="1"/>
    <col min="12296" max="12296" width="22.7109375" style="48" customWidth="1"/>
    <col min="12297" max="12297" width="15.42578125" style="48" customWidth="1"/>
    <col min="12298" max="12298" width="16.85546875" style="48" customWidth="1"/>
    <col min="12299" max="12299" width="16.140625" style="48" customWidth="1"/>
    <col min="12300" max="12301" width="14.140625" style="48" customWidth="1"/>
    <col min="12302" max="12302" width="15.5703125" style="48" customWidth="1"/>
    <col min="12303" max="12303" width="14.7109375" style="48" customWidth="1"/>
    <col min="12304" max="12304" width="15.42578125" style="48" customWidth="1"/>
    <col min="12305" max="12305" width="12" style="48" customWidth="1"/>
    <col min="12306" max="12306" width="13.42578125" style="48" customWidth="1"/>
    <col min="12307" max="12307" width="6.5703125" style="48" customWidth="1"/>
    <col min="12308" max="12314" width="11.42578125" style="48"/>
    <col min="12315" max="12315" width="13.42578125" style="48" bestFit="1" customWidth="1"/>
    <col min="12316" max="12316" width="11.42578125" style="48"/>
    <col min="12317" max="12317" width="12" style="48" bestFit="1" customWidth="1"/>
    <col min="12318" max="12545" width="11.42578125" style="48"/>
    <col min="12546" max="12546" width="25.42578125" style="48" customWidth="1"/>
    <col min="12547" max="12547" width="24" style="48" customWidth="1"/>
    <col min="12548" max="12548" width="16.140625" style="48" customWidth="1"/>
    <col min="12549" max="12549" width="22.5703125" style="48" customWidth="1"/>
    <col min="12550" max="12550" width="20.7109375" style="48" customWidth="1"/>
    <col min="12551" max="12551" width="27.7109375" style="48" customWidth="1"/>
    <col min="12552" max="12552" width="22.7109375" style="48" customWidth="1"/>
    <col min="12553" max="12553" width="15.42578125" style="48" customWidth="1"/>
    <col min="12554" max="12554" width="16.85546875" style="48" customWidth="1"/>
    <col min="12555" max="12555" width="16.140625" style="48" customWidth="1"/>
    <col min="12556" max="12557" width="14.140625" style="48" customWidth="1"/>
    <col min="12558" max="12558" width="15.5703125" style="48" customWidth="1"/>
    <col min="12559" max="12559" width="14.7109375" style="48" customWidth="1"/>
    <col min="12560" max="12560" width="15.42578125" style="48" customWidth="1"/>
    <col min="12561" max="12561" width="12" style="48" customWidth="1"/>
    <col min="12562" max="12562" width="13.42578125" style="48" customWidth="1"/>
    <col min="12563" max="12563" width="6.5703125" style="48" customWidth="1"/>
    <col min="12564" max="12570" width="11.42578125" style="48"/>
    <col min="12571" max="12571" width="13.42578125" style="48" bestFit="1" customWidth="1"/>
    <col min="12572" max="12572" width="11.42578125" style="48"/>
    <col min="12573" max="12573" width="12" style="48" bestFit="1" customWidth="1"/>
    <col min="12574" max="12801" width="11.42578125" style="48"/>
    <col min="12802" max="12802" width="25.42578125" style="48" customWidth="1"/>
    <col min="12803" max="12803" width="24" style="48" customWidth="1"/>
    <col min="12804" max="12804" width="16.140625" style="48" customWidth="1"/>
    <col min="12805" max="12805" width="22.5703125" style="48" customWidth="1"/>
    <col min="12806" max="12806" width="20.7109375" style="48" customWidth="1"/>
    <col min="12807" max="12807" width="27.7109375" style="48" customWidth="1"/>
    <col min="12808" max="12808" width="22.7109375" style="48" customWidth="1"/>
    <col min="12809" max="12809" width="15.42578125" style="48" customWidth="1"/>
    <col min="12810" max="12810" width="16.85546875" style="48" customWidth="1"/>
    <col min="12811" max="12811" width="16.140625" style="48" customWidth="1"/>
    <col min="12812" max="12813" width="14.140625" style="48" customWidth="1"/>
    <col min="12814" max="12814" width="15.5703125" style="48" customWidth="1"/>
    <col min="12815" max="12815" width="14.7109375" style="48" customWidth="1"/>
    <col min="12816" max="12816" width="15.42578125" style="48" customWidth="1"/>
    <col min="12817" max="12817" width="12" style="48" customWidth="1"/>
    <col min="12818" max="12818" width="13.42578125" style="48" customWidth="1"/>
    <col min="12819" max="12819" width="6.5703125" style="48" customWidth="1"/>
    <col min="12820" max="12826" width="11.42578125" style="48"/>
    <col min="12827" max="12827" width="13.42578125" style="48" bestFit="1" customWidth="1"/>
    <col min="12828" max="12828" width="11.42578125" style="48"/>
    <col min="12829" max="12829" width="12" style="48" bestFit="1" customWidth="1"/>
    <col min="12830" max="13057" width="11.42578125" style="48"/>
    <col min="13058" max="13058" width="25.42578125" style="48" customWidth="1"/>
    <col min="13059" max="13059" width="24" style="48" customWidth="1"/>
    <col min="13060" max="13060" width="16.140625" style="48" customWidth="1"/>
    <col min="13061" max="13061" width="22.5703125" style="48" customWidth="1"/>
    <col min="13062" max="13062" width="20.7109375" style="48" customWidth="1"/>
    <col min="13063" max="13063" width="27.7109375" style="48" customWidth="1"/>
    <col min="13064" max="13064" width="22.7109375" style="48" customWidth="1"/>
    <col min="13065" max="13065" width="15.42578125" style="48" customWidth="1"/>
    <col min="13066" max="13066" width="16.85546875" style="48" customWidth="1"/>
    <col min="13067" max="13067" width="16.140625" style="48" customWidth="1"/>
    <col min="13068" max="13069" width="14.140625" style="48" customWidth="1"/>
    <col min="13070" max="13070" width="15.5703125" style="48" customWidth="1"/>
    <col min="13071" max="13071" width="14.7109375" style="48" customWidth="1"/>
    <col min="13072" max="13072" width="15.42578125" style="48" customWidth="1"/>
    <col min="13073" max="13073" width="12" style="48" customWidth="1"/>
    <col min="13074" max="13074" width="13.42578125" style="48" customWidth="1"/>
    <col min="13075" max="13075" width="6.5703125" style="48" customWidth="1"/>
    <col min="13076" max="13082" width="11.42578125" style="48"/>
    <col min="13083" max="13083" width="13.42578125" style="48" bestFit="1" customWidth="1"/>
    <col min="13084" max="13084" width="11.42578125" style="48"/>
    <col min="13085" max="13085" width="12" style="48" bestFit="1" customWidth="1"/>
    <col min="13086" max="13313" width="11.42578125" style="48"/>
    <col min="13314" max="13314" width="25.42578125" style="48" customWidth="1"/>
    <col min="13315" max="13315" width="24" style="48" customWidth="1"/>
    <col min="13316" max="13316" width="16.140625" style="48" customWidth="1"/>
    <col min="13317" max="13317" width="22.5703125" style="48" customWidth="1"/>
    <col min="13318" max="13318" width="20.7109375" style="48" customWidth="1"/>
    <col min="13319" max="13319" width="27.7109375" style="48" customWidth="1"/>
    <col min="13320" max="13320" width="22.7109375" style="48" customWidth="1"/>
    <col min="13321" max="13321" width="15.42578125" style="48" customWidth="1"/>
    <col min="13322" max="13322" width="16.85546875" style="48" customWidth="1"/>
    <col min="13323" max="13323" width="16.140625" style="48" customWidth="1"/>
    <col min="13324" max="13325" width="14.140625" style="48" customWidth="1"/>
    <col min="13326" max="13326" width="15.5703125" style="48" customWidth="1"/>
    <col min="13327" max="13327" width="14.7109375" style="48" customWidth="1"/>
    <col min="13328" max="13328" width="15.42578125" style="48" customWidth="1"/>
    <col min="13329" max="13329" width="12" style="48" customWidth="1"/>
    <col min="13330" max="13330" width="13.42578125" style="48" customWidth="1"/>
    <col min="13331" max="13331" width="6.5703125" style="48" customWidth="1"/>
    <col min="13332" max="13338" width="11.42578125" style="48"/>
    <col min="13339" max="13339" width="13.42578125" style="48" bestFit="1" customWidth="1"/>
    <col min="13340" max="13340" width="11.42578125" style="48"/>
    <col min="13341" max="13341" width="12" style="48" bestFit="1" customWidth="1"/>
    <col min="13342" max="13569" width="11.42578125" style="48"/>
    <col min="13570" max="13570" width="25.42578125" style="48" customWidth="1"/>
    <col min="13571" max="13571" width="24" style="48" customWidth="1"/>
    <col min="13572" max="13572" width="16.140625" style="48" customWidth="1"/>
    <col min="13573" max="13573" width="22.5703125" style="48" customWidth="1"/>
    <col min="13574" max="13574" width="20.7109375" style="48" customWidth="1"/>
    <col min="13575" max="13575" width="27.7109375" style="48" customWidth="1"/>
    <col min="13576" max="13576" width="22.7109375" style="48" customWidth="1"/>
    <col min="13577" max="13577" width="15.42578125" style="48" customWidth="1"/>
    <col min="13578" max="13578" width="16.85546875" style="48" customWidth="1"/>
    <col min="13579" max="13579" width="16.140625" style="48" customWidth="1"/>
    <col min="13580" max="13581" width="14.140625" style="48" customWidth="1"/>
    <col min="13582" max="13582" width="15.5703125" style="48" customWidth="1"/>
    <col min="13583" max="13583" width="14.7109375" style="48" customWidth="1"/>
    <col min="13584" max="13584" width="15.42578125" style="48" customWidth="1"/>
    <col min="13585" max="13585" width="12" style="48" customWidth="1"/>
    <col min="13586" max="13586" width="13.42578125" style="48" customWidth="1"/>
    <col min="13587" max="13587" width="6.5703125" style="48" customWidth="1"/>
    <col min="13588" max="13594" width="11.42578125" style="48"/>
    <col min="13595" max="13595" width="13.42578125" style="48" bestFit="1" customWidth="1"/>
    <col min="13596" max="13596" width="11.42578125" style="48"/>
    <col min="13597" max="13597" width="12" style="48" bestFit="1" customWidth="1"/>
    <col min="13598" max="13825" width="11.42578125" style="48"/>
    <col min="13826" max="13826" width="25.42578125" style="48" customWidth="1"/>
    <col min="13827" max="13827" width="24" style="48" customWidth="1"/>
    <col min="13828" max="13828" width="16.140625" style="48" customWidth="1"/>
    <col min="13829" max="13829" width="22.5703125" style="48" customWidth="1"/>
    <col min="13830" max="13830" width="20.7109375" style="48" customWidth="1"/>
    <col min="13831" max="13831" width="27.7109375" style="48" customWidth="1"/>
    <col min="13832" max="13832" width="22.7109375" style="48" customWidth="1"/>
    <col min="13833" max="13833" width="15.42578125" style="48" customWidth="1"/>
    <col min="13834" max="13834" width="16.85546875" style="48" customWidth="1"/>
    <col min="13835" max="13835" width="16.140625" style="48" customWidth="1"/>
    <col min="13836" max="13837" width="14.140625" style="48" customWidth="1"/>
    <col min="13838" max="13838" width="15.5703125" style="48" customWidth="1"/>
    <col min="13839" max="13839" width="14.7109375" style="48" customWidth="1"/>
    <col min="13840" max="13840" width="15.42578125" style="48" customWidth="1"/>
    <col min="13841" max="13841" width="12" style="48" customWidth="1"/>
    <col min="13842" max="13842" width="13.42578125" style="48" customWidth="1"/>
    <col min="13843" max="13843" width="6.5703125" style="48" customWidth="1"/>
    <col min="13844" max="13850" width="11.42578125" style="48"/>
    <col min="13851" max="13851" width="13.42578125" style="48" bestFit="1" customWidth="1"/>
    <col min="13852" max="13852" width="11.42578125" style="48"/>
    <col min="13853" max="13853" width="12" style="48" bestFit="1" customWidth="1"/>
    <col min="13854" max="14081" width="11.42578125" style="48"/>
    <col min="14082" max="14082" width="25.42578125" style="48" customWidth="1"/>
    <col min="14083" max="14083" width="24" style="48" customWidth="1"/>
    <col min="14084" max="14084" width="16.140625" style="48" customWidth="1"/>
    <col min="14085" max="14085" width="22.5703125" style="48" customWidth="1"/>
    <col min="14086" max="14086" width="20.7109375" style="48" customWidth="1"/>
    <col min="14087" max="14087" width="27.7109375" style="48" customWidth="1"/>
    <col min="14088" max="14088" width="22.7109375" style="48" customWidth="1"/>
    <col min="14089" max="14089" width="15.42578125" style="48" customWidth="1"/>
    <col min="14090" max="14090" width="16.85546875" style="48" customWidth="1"/>
    <col min="14091" max="14091" width="16.140625" style="48" customWidth="1"/>
    <col min="14092" max="14093" width="14.140625" style="48" customWidth="1"/>
    <col min="14094" max="14094" width="15.5703125" style="48" customWidth="1"/>
    <col min="14095" max="14095" width="14.7109375" style="48" customWidth="1"/>
    <col min="14096" max="14096" width="15.42578125" style="48" customWidth="1"/>
    <col min="14097" max="14097" width="12" style="48" customWidth="1"/>
    <col min="14098" max="14098" width="13.42578125" style="48" customWidth="1"/>
    <col min="14099" max="14099" width="6.5703125" style="48" customWidth="1"/>
    <col min="14100" max="14106" width="11.42578125" style="48"/>
    <col min="14107" max="14107" width="13.42578125" style="48" bestFit="1" customWidth="1"/>
    <col min="14108" max="14108" width="11.42578125" style="48"/>
    <col min="14109" max="14109" width="12" style="48" bestFit="1" customWidth="1"/>
    <col min="14110" max="14337" width="11.42578125" style="48"/>
    <col min="14338" max="14338" width="25.42578125" style="48" customWidth="1"/>
    <col min="14339" max="14339" width="24" style="48" customWidth="1"/>
    <col min="14340" max="14340" width="16.140625" style="48" customWidth="1"/>
    <col min="14341" max="14341" width="22.5703125" style="48" customWidth="1"/>
    <col min="14342" max="14342" width="20.7109375" style="48" customWidth="1"/>
    <col min="14343" max="14343" width="27.7109375" style="48" customWidth="1"/>
    <col min="14344" max="14344" width="22.7109375" style="48" customWidth="1"/>
    <col min="14345" max="14345" width="15.42578125" style="48" customWidth="1"/>
    <col min="14346" max="14346" width="16.85546875" style="48" customWidth="1"/>
    <col min="14347" max="14347" width="16.140625" style="48" customWidth="1"/>
    <col min="14348" max="14349" width="14.140625" style="48" customWidth="1"/>
    <col min="14350" max="14350" width="15.5703125" style="48" customWidth="1"/>
    <col min="14351" max="14351" width="14.7109375" style="48" customWidth="1"/>
    <col min="14352" max="14352" width="15.42578125" style="48" customWidth="1"/>
    <col min="14353" max="14353" width="12" style="48" customWidth="1"/>
    <col min="14354" max="14354" width="13.42578125" style="48" customWidth="1"/>
    <col min="14355" max="14355" width="6.5703125" style="48" customWidth="1"/>
    <col min="14356" max="14362" width="11.42578125" style="48"/>
    <col min="14363" max="14363" width="13.42578125" style="48" bestFit="1" customWidth="1"/>
    <col min="14364" max="14364" width="11.42578125" style="48"/>
    <col min="14365" max="14365" width="12" style="48" bestFit="1" customWidth="1"/>
    <col min="14366" max="14593" width="11.42578125" style="48"/>
    <col min="14594" max="14594" width="25.42578125" style="48" customWidth="1"/>
    <col min="14595" max="14595" width="24" style="48" customWidth="1"/>
    <col min="14596" max="14596" width="16.140625" style="48" customWidth="1"/>
    <col min="14597" max="14597" width="22.5703125" style="48" customWidth="1"/>
    <col min="14598" max="14598" width="20.7109375" style="48" customWidth="1"/>
    <col min="14599" max="14599" width="27.7109375" style="48" customWidth="1"/>
    <col min="14600" max="14600" width="22.7109375" style="48" customWidth="1"/>
    <col min="14601" max="14601" width="15.42578125" style="48" customWidth="1"/>
    <col min="14602" max="14602" width="16.85546875" style="48" customWidth="1"/>
    <col min="14603" max="14603" width="16.140625" style="48" customWidth="1"/>
    <col min="14604" max="14605" width="14.140625" style="48" customWidth="1"/>
    <col min="14606" max="14606" width="15.5703125" style="48" customWidth="1"/>
    <col min="14607" max="14607" width="14.7109375" style="48" customWidth="1"/>
    <col min="14608" max="14608" width="15.42578125" style="48" customWidth="1"/>
    <col min="14609" max="14609" width="12" style="48" customWidth="1"/>
    <col min="14610" max="14610" width="13.42578125" style="48" customWidth="1"/>
    <col min="14611" max="14611" width="6.5703125" style="48" customWidth="1"/>
    <col min="14612" max="14618" width="11.42578125" style="48"/>
    <col min="14619" max="14619" width="13.42578125" style="48" bestFit="1" customWidth="1"/>
    <col min="14620" max="14620" width="11.42578125" style="48"/>
    <col min="14621" max="14621" width="12" style="48" bestFit="1" customWidth="1"/>
    <col min="14622" max="14849" width="11.42578125" style="48"/>
    <col min="14850" max="14850" width="25.42578125" style="48" customWidth="1"/>
    <col min="14851" max="14851" width="24" style="48" customWidth="1"/>
    <col min="14852" max="14852" width="16.140625" style="48" customWidth="1"/>
    <col min="14853" max="14853" width="22.5703125" style="48" customWidth="1"/>
    <col min="14854" max="14854" width="20.7109375" style="48" customWidth="1"/>
    <col min="14855" max="14855" width="27.7109375" style="48" customWidth="1"/>
    <col min="14856" max="14856" width="22.7109375" style="48" customWidth="1"/>
    <col min="14857" max="14857" width="15.42578125" style="48" customWidth="1"/>
    <col min="14858" max="14858" width="16.85546875" style="48" customWidth="1"/>
    <col min="14859" max="14859" width="16.140625" style="48" customWidth="1"/>
    <col min="14860" max="14861" width="14.140625" style="48" customWidth="1"/>
    <col min="14862" max="14862" width="15.5703125" style="48" customWidth="1"/>
    <col min="14863" max="14863" width="14.7109375" style="48" customWidth="1"/>
    <col min="14864" max="14864" width="15.42578125" style="48" customWidth="1"/>
    <col min="14865" max="14865" width="12" style="48" customWidth="1"/>
    <col min="14866" max="14866" width="13.42578125" style="48" customWidth="1"/>
    <col min="14867" max="14867" width="6.5703125" style="48" customWidth="1"/>
    <col min="14868" max="14874" width="11.42578125" style="48"/>
    <col min="14875" max="14875" width="13.42578125" style="48" bestFit="1" customWidth="1"/>
    <col min="14876" max="14876" width="11.42578125" style="48"/>
    <col min="14877" max="14877" width="12" style="48" bestFit="1" customWidth="1"/>
    <col min="14878" max="15105" width="11.42578125" style="48"/>
    <col min="15106" max="15106" width="25.42578125" style="48" customWidth="1"/>
    <col min="15107" max="15107" width="24" style="48" customWidth="1"/>
    <col min="15108" max="15108" width="16.140625" style="48" customWidth="1"/>
    <col min="15109" max="15109" width="22.5703125" style="48" customWidth="1"/>
    <col min="15110" max="15110" width="20.7109375" style="48" customWidth="1"/>
    <col min="15111" max="15111" width="27.7109375" style="48" customWidth="1"/>
    <col min="15112" max="15112" width="22.7109375" style="48" customWidth="1"/>
    <col min="15113" max="15113" width="15.42578125" style="48" customWidth="1"/>
    <col min="15114" max="15114" width="16.85546875" style="48" customWidth="1"/>
    <col min="15115" max="15115" width="16.140625" style="48" customWidth="1"/>
    <col min="15116" max="15117" width="14.140625" style="48" customWidth="1"/>
    <col min="15118" max="15118" width="15.5703125" style="48" customWidth="1"/>
    <col min="15119" max="15119" width="14.7109375" style="48" customWidth="1"/>
    <col min="15120" max="15120" width="15.42578125" style="48" customWidth="1"/>
    <col min="15121" max="15121" width="12" style="48" customWidth="1"/>
    <col min="15122" max="15122" width="13.42578125" style="48" customWidth="1"/>
    <col min="15123" max="15123" width="6.5703125" style="48" customWidth="1"/>
    <col min="15124" max="15130" width="11.42578125" style="48"/>
    <col min="15131" max="15131" width="13.42578125" style="48" bestFit="1" customWidth="1"/>
    <col min="15132" max="15132" width="11.42578125" style="48"/>
    <col min="15133" max="15133" width="12" style="48" bestFit="1" customWidth="1"/>
    <col min="15134" max="15361" width="11.42578125" style="48"/>
    <col min="15362" max="15362" width="25.42578125" style="48" customWidth="1"/>
    <col min="15363" max="15363" width="24" style="48" customWidth="1"/>
    <col min="15364" max="15364" width="16.140625" style="48" customWidth="1"/>
    <col min="15365" max="15365" width="22.5703125" style="48" customWidth="1"/>
    <col min="15366" max="15366" width="20.7109375" style="48" customWidth="1"/>
    <col min="15367" max="15367" width="27.7109375" style="48" customWidth="1"/>
    <col min="15368" max="15368" width="22.7109375" style="48" customWidth="1"/>
    <col min="15369" max="15369" width="15.42578125" style="48" customWidth="1"/>
    <col min="15370" max="15370" width="16.85546875" style="48" customWidth="1"/>
    <col min="15371" max="15371" width="16.140625" style="48" customWidth="1"/>
    <col min="15372" max="15373" width="14.140625" style="48" customWidth="1"/>
    <col min="15374" max="15374" width="15.5703125" style="48" customWidth="1"/>
    <col min="15375" max="15375" width="14.7109375" style="48" customWidth="1"/>
    <col min="15376" max="15376" width="15.42578125" style="48" customWidth="1"/>
    <col min="15377" max="15377" width="12" style="48" customWidth="1"/>
    <col min="15378" max="15378" width="13.42578125" style="48" customWidth="1"/>
    <col min="15379" max="15379" width="6.5703125" style="48" customWidth="1"/>
    <col min="15380" max="15386" width="11.42578125" style="48"/>
    <col min="15387" max="15387" width="13.42578125" style="48" bestFit="1" customWidth="1"/>
    <col min="15388" max="15388" width="11.42578125" style="48"/>
    <col min="15389" max="15389" width="12" style="48" bestFit="1" customWidth="1"/>
    <col min="15390" max="15617" width="11.42578125" style="48"/>
    <col min="15618" max="15618" width="25.42578125" style="48" customWidth="1"/>
    <col min="15619" max="15619" width="24" style="48" customWidth="1"/>
    <col min="15620" max="15620" width="16.140625" style="48" customWidth="1"/>
    <col min="15621" max="15621" width="22.5703125" style="48" customWidth="1"/>
    <col min="15622" max="15622" width="20.7109375" style="48" customWidth="1"/>
    <col min="15623" max="15623" width="27.7109375" style="48" customWidth="1"/>
    <col min="15624" max="15624" width="22.7109375" style="48" customWidth="1"/>
    <col min="15625" max="15625" width="15.42578125" style="48" customWidth="1"/>
    <col min="15626" max="15626" width="16.85546875" style="48" customWidth="1"/>
    <col min="15627" max="15627" width="16.140625" style="48" customWidth="1"/>
    <col min="15628" max="15629" width="14.140625" style="48" customWidth="1"/>
    <col min="15630" max="15630" width="15.5703125" style="48" customWidth="1"/>
    <col min="15631" max="15631" width="14.7109375" style="48" customWidth="1"/>
    <col min="15632" max="15632" width="15.42578125" style="48" customWidth="1"/>
    <col min="15633" max="15633" width="12" style="48" customWidth="1"/>
    <col min="15634" max="15634" width="13.42578125" style="48" customWidth="1"/>
    <col min="15635" max="15635" width="6.5703125" style="48" customWidth="1"/>
    <col min="15636" max="15642" width="11.42578125" style="48"/>
    <col min="15643" max="15643" width="13.42578125" style="48" bestFit="1" customWidth="1"/>
    <col min="15644" max="15644" width="11.42578125" style="48"/>
    <col min="15645" max="15645" width="12" style="48" bestFit="1" customWidth="1"/>
    <col min="15646" max="15873" width="11.42578125" style="48"/>
    <col min="15874" max="15874" width="25.42578125" style="48" customWidth="1"/>
    <col min="15875" max="15875" width="24" style="48" customWidth="1"/>
    <col min="15876" max="15876" width="16.140625" style="48" customWidth="1"/>
    <col min="15877" max="15877" width="22.5703125" style="48" customWidth="1"/>
    <col min="15878" max="15878" width="20.7109375" style="48" customWidth="1"/>
    <col min="15879" max="15879" width="27.7109375" style="48" customWidth="1"/>
    <col min="15880" max="15880" width="22.7109375" style="48" customWidth="1"/>
    <col min="15881" max="15881" width="15.42578125" style="48" customWidth="1"/>
    <col min="15882" max="15882" width="16.85546875" style="48" customWidth="1"/>
    <col min="15883" max="15883" width="16.140625" style="48" customWidth="1"/>
    <col min="15884" max="15885" width="14.140625" style="48" customWidth="1"/>
    <col min="15886" max="15886" width="15.5703125" style="48" customWidth="1"/>
    <col min="15887" max="15887" width="14.7109375" style="48" customWidth="1"/>
    <col min="15888" max="15888" width="15.42578125" style="48" customWidth="1"/>
    <col min="15889" max="15889" width="12" style="48" customWidth="1"/>
    <col min="15890" max="15890" width="13.42578125" style="48" customWidth="1"/>
    <col min="15891" max="15891" width="6.5703125" style="48" customWidth="1"/>
    <col min="15892" max="15898" width="11.42578125" style="48"/>
    <col min="15899" max="15899" width="13.42578125" style="48" bestFit="1" customWidth="1"/>
    <col min="15900" max="15900" width="11.42578125" style="48"/>
    <col min="15901" max="15901" width="12" style="48" bestFit="1" customWidth="1"/>
    <col min="15902" max="16129" width="11.42578125" style="48"/>
    <col min="16130" max="16130" width="25.42578125" style="48" customWidth="1"/>
    <col min="16131" max="16131" width="24" style="48" customWidth="1"/>
    <col min="16132" max="16132" width="16.140625" style="48" customWidth="1"/>
    <col min="16133" max="16133" width="22.5703125" style="48" customWidth="1"/>
    <col min="16134" max="16134" width="20.7109375" style="48" customWidth="1"/>
    <col min="16135" max="16135" width="27.7109375" style="48" customWidth="1"/>
    <col min="16136" max="16136" width="22.7109375" style="48" customWidth="1"/>
    <col min="16137" max="16137" width="15.42578125" style="48" customWidth="1"/>
    <col min="16138" max="16138" width="16.85546875" style="48" customWidth="1"/>
    <col min="16139" max="16139" width="16.140625" style="48" customWidth="1"/>
    <col min="16140" max="16141" width="14.140625" style="48" customWidth="1"/>
    <col min="16142" max="16142" width="15.5703125" style="48" customWidth="1"/>
    <col min="16143" max="16143" width="14.7109375" style="48" customWidth="1"/>
    <col min="16144" max="16144" width="15.42578125" style="48" customWidth="1"/>
    <col min="16145" max="16145" width="12" style="48" customWidth="1"/>
    <col min="16146" max="16146" width="13.42578125" style="48" customWidth="1"/>
    <col min="16147" max="16147" width="6.5703125" style="48" customWidth="1"/>
    <col min="16148" max="16154" width="11.42578125" style="48"/>
    <col min="16155" max="16155" width="13.42578125" style="48" bestFit="1" customWidth="1"/>
    <col min="16156" max="16156" width="11.42578125" style="48"/>
    <col min="16157" max="16157" width="12" style="48" bestFit="1" customWidth="1"/>
    <col min="16158" max="16384" width="11.42578125" style="48"/>
  </cols>
  <sheetData>
    <row r="1" spans="1:252" ht="59.25" hidden="1" customHeight="1" thickBot="1" x14ac:dyDescent="0.25">
      <c r="A1" s="2514"/>
      <c r="B1" s="2515"/>
      <c r="C1" s="2516"/>
      <c r="D1" s="2515" t="s">
        <v>165</v>
      </c>
      <c r="E1" s="2515"/>
      <c r="F1" s="2515"/>
      <c r="G1" s="2515"/>
      <c r="H1" s="2515"/>
      <c r="I1" s="2515"/>
      <c r="J1" s="2515"/>
      <c r="K1" s="2515"/>
      <c r="L1" s="2515"/>
      <c r="M1" s="2515"/>
      <c r="N1" s="2515"/>
      <c r="O1" s="2515"/>
      <c r="P1" s="2516"/>
    </row>
    <row r="2" spans="1:252" hidden="1" x14ac:dyDescent="0.2"/>
    <row r="3" spans="1:252" ht="60" hidden="1" customHeight="1" x14ac:dyDescent="0.2">
      <c r="A3" s="65" t="s">
        <v>166</v>
      </c>
      <c r="B3" s="321" t="s">
        <v>283</v>
      </c>
      <c r="C3" s="321"/>
      <c r="D3" s="321"/>
      <c r="E3" s="321"/>
      <c r="F3" s="321"/>
      <c r="G3" s="2517" t="s">
        <v>264</v>
      </c>
      <c r="H3" s="2518"/>
      <c r="I3" s="322" t="s">
        <v>167</v>
      </c>
      <c r="J3" s="322" t="s">
        <v>168</v>
      </c>
      <c r="K3" s="322" t="s">
        <v>169</v>
      </c>
    </row>
    <row r="4" spans="1:252" hidden="1" x14ac:dyDescent="0.2">
      <c r="A4" s="65"/>
      <c r="B4" s="75"/>
      <c r="C4" s="75"/>
      <c r="D4" s="75"/>
      <c r="E4" s="75"/>
      <c r="F4" s="75"/>
      <c r="G4" s="75"/>
      <c r="I4" s="323">
        <v>30</v>
      </c>
      <c r="J4" s="323">
        <v>12</v>
      </c>
      <c r="K4" s="323">
        <v>201</v>
      </c>
    </row>
    <row r="5" spans="1:252" hidden="1" x14ac:dyDescent="0.2">
      <c r="A5" s="63"/>
    </row>
    <row r="6" spans="1:252" ht="15.75" hidden="1" x14ac:dyDescent="0.25">
      <c r="A6" s="65" t="s">
        <v>170</v>
      </c>
      <c r="B6" s="324" t="s">
        <v>284</v>
      </c>
      <c r="C6" s="324"/>
      <c r="D6" s="324"/>
      <c r="E6" s="324"/>
      <c r="F6" s="324"/>
      <c r="G6" s="76"/>
      <c r="H6" s="76"/>
    </row>
    <row r="7" spans="1:252" hidden="1" x14ac:dyDescent="0.2">
      <c r="A7" s="65"/>
    </row>
    <row r="8" spans="1:252" ht="22.5" hidden="1" customHeight="1" thickBot="1" x14ac:dyDescent="0.25">
      <c r="A8" s="65" t="s">
        <v>171</v>
      </c>
      <c r="B8" s="2519" t="s">
        <v>285</v>
      </c>
      <c r="C8" s="2520"/>
      <c r="D8" s="2520"/>
      <c r="E8" s="2520"/>
      <c r="F8" s="2520"/>
      <c r="G8" s="2520"/>
      <c r="H8" s="2520"/>
      <c r="I8" s="2520"/>
      <c r="J8" s="2520"/>
      <c r="K8" s="2521"/>
    </row>
    <row r="9" spans="1:252" hidden="1" x14ac:dyDescent="0.2">
      <c r="A9" s="65"/>
    </row>
    <row r="10" spans="1:252" ht="40.5" hidden="1" customHeight="1" thickBot="1" x14ac:dyDescent="0.25">
      <c r="A10" s="65" t="s">
        <v>172</v>
      </c>
      <c r="B10" s="2511" t="s">
        <v>286</v>
      </c>
      <c r="C10" s="2512"/>
      <c r="D10" s="2512"/>
      <c r="E10" s="2512"/>
      <c r="F10" s="2512"/>
      <c r="G10" s="2512"/>
      <c r="H10" s="2512"/>
      <c r="I10" s="2512"/>
      <c r="J10" s="2512"/>
      <c r="K10" s="2513"/>
    </row>
    <row r="11" spans="1:252" ht="76.5" hidden="1" customHeight="1" thickBot="1" x14ac:dyDescent="0.25">
      <c r="A11" s="65" t="s">
        <v>287</v>
      </c>
      <c r="B11" s="2511" t="s">
        <v>288</v>
      </c>
      <c r="C11" s="2512"/>
      <c r="D11" s="2512"/>
      <c r="E11" s="2512"/>
      <c r="F11" s="2512"/>
      <c r="G11" s="2512"/>
      <c r="H11" s="2512"/>
      <c r="I11" s="2512"/>
      <c r="J11" s="2512"/>
      <c r="K11" s="2513"/>
    </row>
    <row r="12" spans="1:252" hidden="1" x14ac:dyDescent="0.2">
      <c r="A12" s="64" t="s">
        <v>289</v>
      </c>
      <c r="B12" s="2502" t="s">
        <v>174</v>
      </c>
      <c r="C12" s="2502"/>
    </row>
    <row r="13" spans="1:252" ht="102.75" hidden="1" customHeight="1" thickBot="1" x14ac:dyDescent="0.25">
      <c r="A13" s="65" t="s">
        <v>290</v>
      </c>
      <c r="B13" s="2503" t="s">
        <v>291</v>
      </c>
      <c r="C13" s="2504"/>
      <c r="D13" s="2504"/>
      <c r="E13" s="2504"/>
      <c r="F13" s="2504"/>
      <c r="G13" s="2504"/>
      <c r="H13" s="2504"/>
      <c r="I13" s="2504"/>
      <c r="J13" s="2504"/>
      <c r="K13" s="2505"/>
    </row>
    <row r="14" spans="1:252" ht="15.75" customHeight="1" x14ac:dyDescent="0.2">
      <c r="A14" s="65"/>
      <c r="B14" s="199"/>
      <c r="C14" s="200"/>
      <c r="D14" s="200"/>
      <c r="E14" s="200"/>
      <c r="F14" s="200"/>
      <c r="G14" s="200"/>
      <c r="H14" s="200"/>
      <c r="I14" s="200"/>
      <c r="J14" s="200"/>
      <c r="K14" s="200"/>
    </row>
    <row r="15" spans="1:252" x14ac:dyDescent="0.2">
      <c r="A15" s="2506" t="s">
        <v>292</v>
      </c>
      <c r="B15" s="2502"/>
      <c r="C15" s="2502"/>
      <c r="D15" s="2502"/>
      <c r="E15" s="2502"/>
      <c r="F15" s="2502"/>
    </row>
    <row r="16" spans="1:252" s="82" customFormat="1" ht="31.5" customHeight="1" x14ac:dyDescent="0.2">
      <c r="A16" s="325" t="s">
        <v>173</v>
      </c>
      <c r="B16" s="326" t="s">
        <v>97</v>
      </c>
      <c r="C16" s="326" t="s">
        <v>98</v>
      </c>
      <c r="D16" s="326" t="s">
        <v>99</v>
      </c>
      <c r="E16" s="326" t="s">
        <v>100</v>
      </c>
      <c r="F16" s="326" t="s">
        <v>101</v>
      </c>
      <c r="G16" s="326" t="s">
        <v>122</v>
      </c>
      <c r="H16" s="326" t="s">
        <v>267</v>
      </c>
      <c r="I16" s="326" t="s">
        <v>319</v>
      </c>
      <c r="J16" s="326" t="s">
        <v>320</v>
      </c>
      <c r="K16" s="326" t="s">
        <v>342</v>
      </c>
      <c r="L16" s="326" t="s">
        <v>343</v>
      </c>
      <c r="M16" s="326" t="s">
        <v>410</v>
      </c>
      <c r="N16" s="326" t="s">
        <v>411</v>
      </c>
      <c r="O16" s="326" t="s">
        <v>445</v>
      </c>
      <c r="P16" s="326" t="s">
        <v>446</v>
      </c>
      <c r="Q16" s="326" t="s">
        <v>602</v>
      </c>
      <c r="R16" s="326" t="s">
        <v>603</v>
      </c>
      <c r="S16" s="418" t="s">
        <v>5</v>
      </c>
      <c r="T16" s="418" t="s">
        <v>624</v>
      </c>
      <c r="U16" s="418" t="s">
        <v>625</v>
      </c>
      <c r="V16" s="418">
        <v>2019</v>
      </c>
      <c r="W16" s="79"/>
      <c r="X16" s="80"/>
      <c r="Y16" s="80"/>
      <c r="Z16" s="80"/>
      <c r="AA16" s="80"/>
      <c r="AB16" s="81"/>
      <c r="AH16" s="77"/>
      <c r="AI16" s="78"/>
      <c r="AJ16" s="78"/>
      <c r="AK16" s="79"/>
      <c r="AL16" s="79"/>
      <c r="AM16" s="79"/>
      <c r="AN16" s="80"/>
      <c r="AO16" s="80"/>
      <c r="AP16" s="80"/>
      <c r="AQ16" s="80"/>
      <c r="AR16" s="81"/>
      <c r="AX16" s="77"/>
      <c r="AY16" s="78"/>
      <c r="AZ16" s="78"/>
      <c r="BA16" s="79"/>
      <c r="BB16" s="79"/>
      <c r="BC16" s="79"/>
      <c r="BD16" s="80"/>
      <c r="BE16" s="80"/>
      <c r="BF16" s="80"/>
      <c r="BG16" s="80"/>
      <c r="BH16" s="81"/>
      <c r="BN16" s="77"/>
      <c r="BO16" s="78"/>
      <c r="BP16" s="78"/>
      <c r="BQ16" s="79"/>
      <c r="BR16" s="79"/>
      <c r="BS16" s="79"/>
      <c r="BT16" s="80"/>
      <c r="BU16" s="80"/>
      <c r="BV16" s="80"/>
      <c r="BW16" s="80"/>
      <c r="BX16" s="81"/>
      <c r="CD16" s="77"/>
      <c r="CE16" s="78"/>
      <c r="CF16" s="78"/>
      <c r="CG16" s="79"/>
      <c r="CH16" s="79"/>
      <c r="CI16" s="79"/>
      <c r="CJ16" s="80"/>
      <c r="CK16" s="80"/>
      <c r="CL16" s="80"/>
      <c r="CM16" s="80"/>
      <c r="CN16" s="81"/>
      <c r="CT16" s="77"/>
      <c r="CU16" s="78"/>
      <c r="CV16" s="78"/>
      <c r="CW16" s="79"/>
      <c r="CX16" s="79"/>
      <c r="CY16" s="79"/>
      <c r="CZ16" s="80"/>
      <c r="DA16" s="80"/>
      <c r="DB16" s="80"/>
      <c r="DC16" s="80"/>
      <c r="DD16" s="81"/>
      <c r="DJ16" s="77"/>
      <c r="DK16" s="78"/>
      <c r="DL16" s="78"/>
      <c r="DM16" s="79"/>
      <c r="DN16" s="79"/>
      <c r="DO16" s="79"/>
      <c r="DP16" s="80"/>
      <c r="DQ16" s="80"/>
      <c r="DR16" s="80"/>
      <c r="DS16" s="80"/>
      <c r="DT16" s="81"/>
      <c r="DZ16" s="77"/>
      <c r="EA16" s="78"/>
      <c r="EB16" s="78"/>
      <c r="EC16" s="79"/>
      <c r="ED16" s="79"/>
      <c r="EE16" s="79"/>
      <c r="EF16" s="80"/>
      <c r="EG16" s="80"/>
      <c r="EH16" s="80"/>
      <c r="EI16" s="80"/>
      <c r="EJ16" s="81"/>
      <c r="EP16" s="77"/>
      <c r="EQ16" s="78"/>
      <c r="ER16" s="78"/>
      <c r="ES16" s="79"/>
      <c r="ET16" s="79"/>
      <c r="EU16" s="79"/>
      <c r="EV16" s="80"/>
      <c r="EW16" s="80"/>
      <c r="EX16" s="80"/>
      <c r="EY16" s="80"/>
      <c r="EZ16" s="81"/>
      <c r="FF16" s="77"/>
      <c r="FG16" s="78"/>
      <c r="FH16" s="78"/>
      <c r="FI16" s="79"/>
      <c r="FJ16" s="79"/>
      <c r="FK16" s="79"/>
      <c r="FL16" s="80"/>
      <c r="FM16" s="80"/>
      <c r="FN16" s="80"/>
      <c r="FO16" s="80"/>
      <c r="FP16" s="81"/>
      <c r="FV16" s="77"/>
      <c r="FW16" s="78"/>
      <c r="FX16" s="78"/>
      <c r="FY16" s="79"/>
      <c r="FZ16" s="79"/>
      <c r="GA16" s="79"/>
      <c r="GB16" s="80"/>
      <c r="GC16" s="80"/>
      <c r="GD16" s="80"/>
      <c r="GE16" s="80"/>
      <c r="GF16" s="81"/>
      <c r="GL16" s="77"/>
      <c r="GM16" s="78"/>
      <c r="GN16" s="78"/>
      <c r="GO16" s="79"/>
      <c r="GP16" s="79"/>
      <c r="GQ16" s="79"/>
      <c r="GR16" s="80"/>
      <c r="GS16" s="80"/>
      <c r="GT16" s="80"/>
      <c r="GU16" s="80"/>
      <c r="GV16" s="81"/>
      <c r="HB16" s="77"/>
      <c r="HC16" s="78"/>
      <c r="HD16" s="78"/>
      <c r="HE16" s="79"/>
      <c r="HF16" s="79"/>
      <c r="HG16" s="79"/>
      <c r="HH16" s="80"/>
      <c r="HI16" s="80"/>
      <c r="HJ16" s="80"/>
      <c r="HK16" s="80"/>
      <c r="HL16" s="81"/>
      <c r="HR16" s="77"/>
      <c r="HS16" s="78"/>
      <c r="HT16" s="78"/>
      <c r="HU16" s="79"/>
      <c r="HV16" s="79"/>
      <c r="HW16" s="79"/>
      <c r="HX16" s="80"/>
      <c r="HY16" s="80"/>
      <c r="HZ16" s="80"/>
      <c r="IA16" s="80"/>
      <c r="IB16" s="81"/>
      <c r="IH16" s="77"/>
      <c r="II16" s="78"/>
      <c r="IJ16" s="78"/>
      <c r="IK16" s="79"/>
      <c r="IL16" s="79"/>
      <c r="IM16" s="79"/>
      <c r="IN16" s="80"/>
      <c r="IO16" s="80"/>
      <c r="IP16" s="80"/>
      <c r="IQ16" s="80"/>
      <c r="IR16" s="81"/>
    </row>
    <row r="17" spans="1:257" s="82" customFormat="1" ht="42.75" customHeight="1" x14ac:dyDescent="0.2">
      <c r="A17" s="327">
        <v>0.03</v>
      </c>
      <c r="B17" s="328">
        <f t="shared" ref="B17:H17" si="0">H26</f>
        <v>2.4523999999999997E-2</v>
      </c>
      <c r="C17" s="329">
        <f t="shared" si="0"/>
        <v>2.5903999999999996E-2</v>
      </c>
      <c r="D17" s="329">
        <f t="shared" si="0"/>
        <v>2.6147916666666667E-2</v>
      </c>
      <c r="E17" s="415">
        <f t="shared" si="0"/>
        <v>2.1558065599999999E-2</v>
      </c>
      <c r="F17" s="415">
        <f t="shared" si="0"/>
        <v>2.3E-2</v>
      </c>
      <c r="G17" s="415">
        <f t="shared" si="0"/>
        <v>2.3719437499999999E-2</v>
      </c>
      <c r="H17" s="415">
        <f t="shared" si="0"/>
        <v>2.3599999999999999E-2</v>
      </c>
      <c r="I17" s="415">
        <v>2.4E-2</v>
      </c>
      <c r="J17" s="415">
        <v>2.3E-2</v>
      </c>
      <c r="K17" s="415">
        <v>2.3E-2</v>
      </c>
      <c r="L17" s="415">
        <v>2.1999999999999999E-2</v>
      </c>
      <c r="M17" s="415">
        <v>2.1999999999999999E-2</v>
      </c>
      <c r="N17" s="415">
        <v>0.03</v>
      </c>
      <c r="O17" s="415">
        <v>2.1999999999999999E-2</v>
      </c>
      <c r="P17" s="415">
        <v>0.03</v>
      </c>
      <c r="Q17" s="415">
        <v>2.1999999999999999E-2</v>
      </c>
      <c r="R17" s="415">
        <v>0.03</v>
      </c>
      <c r="S17" s="2478">
        <v>0.8</v>
      </c>
      <c r="T17" s="413"/>
      <c r="U17" s="413"/>
      <c r="V17" s="413"/>
      <c r="W17" s="85"/>
      <c r="X17" s="86"/>
      <c r="Y17" s="86"/>
      <c r="Z17" s="86"/>
      <c r="AA17" s="86"/>
      <c r="AB17" s="77"/>
      <c r="AH17" s="83"/>
      <c r="AI17" s="84"/>
      <c r="AJ17" s="84"/>
      <c r="AK17" s="83"/>
      <c r="AL17" s="83"/>
      <c r="AM17" s="85"/>
      <c r="AN17" s="86"/>
      <c r="AO17" s="86"/>
      <c r="AP17" s="86"/>
      <c r="AQ17" s="86"/>
      <c r="AR17" s="77"/>
      <c r="AX17" s="83"/>
      <c r="AY17" s="84"/>
      <c r="AZ17" s="84"/>
      <c r="BA17" s="83"/>
      <c r="BB17" s="83"/>
      <c r="BC17" s="85"/>
      <c r="BD17" s="86"/>
      <c r="BE17" s="86"/>
      <c r="BF17" s="86"/>
      <c r="BG17" s="86"/>
      <c r="BH17" s="77"/>
      <c r="BN17" s="83"/>
      <c r="BO17" s="84"/>
      <c r="BP17" s="84"/>
      <c r="BQ17" s="83"/>
      <c r="BR17" s="83"/>
      <c r="BS17" s="85"/>
      <c r="BT17" s="86"/>
      <c r="BU17" s="86"/>
      <c r="BV17" s="86"/>
      <c r="BW17" s="86"/>
      <c r="BX17" s="77"/>
      <c r="CD17" s="83"/>
      <c r="CE17" s="84"/>
      <c r="CF17" s="84"/>
      <c r="CG17" s="83"/>
      <c r="CH17" s="83"/>
      <c r="CI17" s="85"/>
      <c r="CJ17" s="86"/>
      <c r="CK17" s="86"/>
      <c r="CL17" s="86"/>
      <c r="CM17" s="86"/>
      <c r="CN17" s="77"/>
      <c r="CT17" s="83"/>
      <c r="CU17" s="84"/>
      <c r="CV17" s="84"/>
      <c r="CW17" s="83"/>
      <c r="CX17" s="83"/>
      <c r="CY17" s="85"/>
      <c r="CZ17" s="86"/>
      <c r="DA17" s="86"/>
      <c r="DB17" s="86"/>
      <c r="DC17" s="86"/>
      <c r="DD17" s="77"/>
      <c r="DJ17" s="83"/>
      <c r="DK17" s="84"/>
      <c r="DL17" s="84"/>
      <c r="DM17" s="83"/>
      <c r="DN17" s="83"/>
      <c r="DO17" s="85"/>
      <c r="DP17" s="86"/>
      <c r="DQ17" s="86"/>
      <c r="DR17" s="86"/>
      <c r="DS17" s="86"/>
      <c r="DT17" s="77"/>
      <c r="DZ17" s="83"/>
      <c r="EA17" s="84"/>
      <c r="EB17" s="84"/>
      <c r="EC17" s="83"/>
      <c r="ED17" s="83"/>
      <c r="EE17" s="85"/>
      <c r="EF17" s="86"/>
      <c r="EG17" s="86"/>
      <c r="EH17" s="86"/>
      <c r="EI17" s="86"/>
      <c r="EJ17" s="77"/>
      <c r="EP17" s="83"/>
      <c r="EQ17" s="84"/>
      <c r="ER17" s="84"/>
      <c r="ES17" s="83"/>
      <c r="ET17" s="83"/>
      <c r="EU17" s="85"/>
      <c r="EV17" s="86"/>
      <c r="EW17" s="86"/>
      <c r="EX17" s="86"/>
      <c r="EY17" s="86"/>
      <c r="EZ17" s="77"/>
      <c r="FF17" s="83"/>
      <c r="FG17" s="84"/>
      <c r="FH17" s="84"/>
      <c r="FI17" s="83"/>
      <c r="FJ17" s="83"/>
      <c r="FK17" s="85"/>
      <c r="FL17" s="86"/>
      <c r="FM17" s="86"/>
      <c r="FN17" s="86"/>
      <c r="FO17" s="86"/>
      <c r="FP17" s="77"/>
      <c r="FV17" s="83"/>
      <c r="FW17" s="84"/>
      <c r="FX17" s="84"/>
      <c r="FY17" s="83"/>
      <c r="FZ17" s="83"/>
      <c r="GA17" s="85"/>
      <c r="GB17" s="86"/>
      <c r="GC17" s="86"/>
      <c r="GD17" s="86"/>
      <c r="GE17" s="86"/>
      <c r="GF17" s="77"/>
      <c r="GL17" s="83"/>
      <c r="GM17" s="84"/>
      <c r="GN17" s="84"/>
      <c r="GO17" s="83"/>
      <c r="GP17" s="83"/>
      <c r="GQ17" s="85"/>
      <c r="GR17" s="86"/>
      <c r="GS17" s="86"/>
      <c r="GT17" s="86"/>
      <c r="GU17" s="86"/>
      <c r="GV17" s="77"/>
      <c r="HB17" s="83"/>
      <c r="HC17" s="84"/>
      <c r="HD17" s="84"/>
      <c r="HE17" s="83"/>
      <c r="HF17" s="83"/>
      <c r="HG17" s="85"/>
      <c r="HH17" s="86"/>
      <c r="HI17" s="86"/>
      <c r="HJ17" s="86"/>
      <c r="HK17" s="86"/>
      <c r="HL17" s="77"/>
      <c r="HR17" s="83"/>
      <c r="HS17" s="84"/>
      <c r="HT17" s="84"/>
      <c r="HU17" s="83"/>
      <c r="HV17" s="83"/>
      <c r="HW17" s="85"/>
      <c r="HX17" s="86"/>
      <c r="HY17" s="86"/>
      <c r="HZ17" s="86"/>
      <c r="IA17" s="86"/>
      <c r="IB17" s="77"/>
      <c r="IH17" s="83"/>
      <c r="II17" s="84"/>
      <c r="IJ17" s="84"/>
      <c r="IK17" s="83"/>
      <c r="IL17" s="83"/>
      <c r="IM17" s="85"/>
      <c r="IN17" s="86"/>
      <c r="IO17" s="86"/>
      <c r="IP17" s="86"/>
      <c r="IQ17" s="86"/>
      <c r="IR17" s="77"/>
    </row>
    <row r="18" spans="1:257" s="82" customFormat="1" ht="42.75" customHeight="1" x14ac:dyDescent="0.2">
      <c r="A18" s="325" t="s">
        <v>293</v>
      </c>
      <c r="B18" s="330">
        <v>0.74</v>
      </c>
      <c r="C18" s="330">
        <v>0.64</v>
      </c>
      <c r="D18" s="331">
        <v>0.71779999999999999</v>
      </c>
      <c r="E18" s="416">
        <v>0.91900000000000004</v>
      </c>
      <c r="F18" s="416">
        <v>0.84899999999999998</v>
      </c>
      <c r="G18" s="417">
        <v>0.79200000000000004</v>
      </c>
      <c r="H18" s="417">
        <v>0.8</v>
      </c>
      <c r="I18" s="417">
        <v>0.83</v>
      </c>
      <c r="J18" s="417">
        <v>0.81</v>
      </c>
      <c r="K18" s="417">
        <v>0.86</v>
      </c>
      <c r="L18" s="417">
        <v>0.87</v>
      </c>
      <c r="M18" s="417">
        <v>0.94830000000000003</v>
      </c>
      <c r="N18" s="417">
        <v>0.87370000000000003</v>
      </c>
      <c r="O18" s="417">
        <v>0.94830000000000003</v>
      </c>
      <c r="P18" s="417">
        <v>0.87370000000000003</v>
      </c>
      <c r="Q18" s="417">
        <v>0.86309999999999998</v>
      </c>
      <c r="R18" s="417">
        <v>0.89300000000000002</v>
      </c>
      <c r="S18" s="2479"/>
      <c r="T18" s="414">
        <f>D53</f>
        <v>0.89959518749999989</v>
      </c>
      <c r="U18" s="414">
        <f>E53</f>
        <v>0.92724930769230762</v>
      </c>
      <c r="V18" s="414">
        <f>F53</f>
        <v>0.91342224759615376</v>
      </c>
      <c r="W18" s="85"/>
      <c r="X18" s="86"/>
      <c r="Y18" s="86"/>
      <c r="Z18" s="86"/>
      <c r="AA18" s="86"/>
      <c r="AB18" s="77"/>
      <c r="AH18" s="83"/>
      <c r="AI18" s="84"/>
      <c r="AJ18" s="84"/>
      <c r="AK18" s="83"/>
      <c r="AL18" s="83"/>
      <c r="AM18" s="85"/>
      <c r="AN18" s="86"/>
      <c r="AO18" s="86"/>
      <c r="AP18" s="86"/>
      <c r="AQ18" s="86"/>
      <c r="AR18" s="77"/>
      <c r="AX18" s="83"/>
      <c r="AY18" s="84"/>
      <c r="AZ18" s="84"/>
      <c r="BA18" s="83"/>
      <c r="BB18" s="83"/>
      <c r="BC18" s="85"/>
      <c r="BD18" s="86"/>
      <c r="BE18" s="86"/>
      <c r="BF18" s="86"/>
      <c r="BG18" s="86"/>
      <c r="BH18" s="77"/>
      <c r="BN18" s="83"/>
      <c r="BO18" s="84"/>
      <c r="BP18" s="84"/>
      <c r="BQ18" s="83"/>
      <c r="BR18" s="83"/>
      <c r="BS18" s="85"/>
      <c r="BT18" s="86"/>
      <c r="BU18" s="86"/>
      <c r="BV18" s="86"/>
      <c r="BW18" s="86"/>
      <c r="BX18" s="77"/>
      <c r="CD18" s="83"/>
      <c r="CE18" s="84"/>
      <c r="CF18" s="84"/>
      <c r="CG18" s="83"/>
      <c r="CH18" s="83"/>
      <c r="CI18" s="85"/>
      <c r="CJ18" s="86"/>
      <c r="CK18" s="86"/>
      <c r="CL18" s="86"/>
      <c r="CM18" s="86"/>
      <c r="CN18" s="77"/>
      <c r="CT18" s="83"/>
      <c r="CU18" s="84"/>
      <c r="CV18" s="84"/>
      <c r="CW18" s="83"/>
      <c r="CX18" s="83"/>
      <c r="CY18" s="85"/>
      <c r="CZ18" s="86"/>
      <c r="DA18" s="86"/>
      <c r="DB18" s="86"/>
      <c r="DC18" s="86"/>
      <c r="DD18" s="77"/>
      <c r="DJ18" s="83"/>
      <c r="DK18" s="84"/>
      <c r="DL18" s="84"/>
      <c r="DM18" s="83"/>
      <c r="DN18" s="83"/>
      <c r="DO18" s="85"/>
      <c r="DP18" s="86"/>
      <c r="DQ18" s="86"/>
      <c r="DR18" s="86"/>
      <c r="DS18" s="86"/>
      <c r="DT18" s="77"/>
      <c r="DZ18" s="83"/>
      <c r="EA18" s="84"/>
      <c r="EB18" s="84"/>
      <c r="EC18" s="83"/>
      <c r="ED18" s="83"/>
      <c r="EE18" s="85"/>
      <c r="EF18" s="86"/>
      <c r="EG18" s="86"/>
      <c r="EH18" s="86"/>
      <c r="EI18" s="86"/>
      <c r="EJ18" s="77"/>
      <c r="EP18" s="83"/>
      <c r="EQ18" s="84"/>
      <c r="ER18" s="84"/>
      <c r="ES18" s="83"/>
      <c r="ET18" s="83"/>
      <c r="EU18" s="85"/>
      <c r="EV18" s="86"/>
      <c r="EW18" s="86"/>
      <c r="EX18" s="86"/>
      <c r="EY18" s="86"/>
      <c r="EZ18" s="77"/>
      <c r="FF18" s="83"/>
      <c r="FG18" s="84"/>
      <c r="FH18" s="84"/>
      <c r="FI18" s="83"/>
      <c r="FJ18" s="83"/>
      <c r="FK18" s="85"/>
      <c r="FL18" s="86"/>
      <c r="FM18" s="86"/>
      <c r="FN18" s="86"/>
      <c r="FO18" s="86"/>
      <c r="FP18" s="77"/>
      <c r="FV18" s="83"/>
      <c r="FW18" s="84"/>
      <c r="FX18" s="84"/>
      <c r="FY18" s="83"/>
      <c r="FZ18" s="83"/>
      <c r="GA18" s="85"/>
      <c r="GB18" s="86"/>
      <c r="GC18" s="86"/>
      <c r="GD18" s="86"/>
      <c r="GE18" s="86"/>
      <c r="GF18" s="77"/>
      <c r="GL18" s="83"/>
      <c r="GM18" s="84"/>
      <c r="GN18" s="84"/>
      <c r="GO18" s="83"/>
      <c r="GP18" s="83"/>
      <c r="GQ18" s="85"/>
      <c r="GR18" s="86"/>
      <c r="GS18" s="86"/>
      <c r="GT18" s="86"/>
      <c r="GU18" s="86"/>
      <c r="GV18" s="77"/>
      <c r="HB18" s="83"/>
      <c r="HC18" s="84"/>
      <c r="HD18" s="84"/>
      <c r="HE18" s="83"/>
      <c r="HF18" s="83"/>
      <c r="HG18" s="85"/>
      <c r="HH18" s="86"/>
      <c r="HI18" s="86"/>
      <c r="HJ18" s="86"/>
      <c r="HK18" s="86"/>
      <c r="HL18" s="77"/>
      <c r="HR18" s="83"/>
      <c r="HS18" s="84"/>
      <c r="HT18" s="84"/>
      <c r="HU18" s="83"/>
      <c r="HV18" s="83"/>
      <c r="HW18" s="85"/>
      <c r="HX18" s="86"/>
      <c r="HY18" s="86"/>
      <c r="HZ18" s="86"/>
      <c r="IA18" s="86"/>
      <c r="IB18" s="77"/>
      <c r="IH18" s="83"/>
      <c r="II18" s="84"/>
      <c r="IJ18" s="84"/>
      <c r="IK18" s="83"/>
      <c r="IL18" s="83"/>
      <c r="IM18" s="85"/>
      <c r="IN18" s="86"/>
      <c r="IO18" s="86"/>
      <c r="IP18" s="86"/>
      <c r="IQ18" s="86"/>
      <c r="IR18" s="77"/>
    </row>
    <row r="19" spans="1:257" s="82" customFormat="1" ht="10.5" customHeight="1" x14ac:dyDescent="0.2">
      <c r="A19" s="155"/>
      <c r="B19" s="156"/>
      <c r="C19" s="157"/>
      <c r="D19" s="157"/>
      <c r="E19" s="157"/>
      <c r="F19" s="157"/>
      <c r="G19" s="157"/>
      <c r="H19" s="157"/>
      <c r="I19" s="157"/>
      <c r="J19" s="157"/>
      <c r="K19" s="157"/>
      <c r="L19" s="157"/>
      <c r="N19" s="48"/>
      <c r="O19" s="48"/>
      <c r="P19" s="48"/>
      <c r="Q19" s="83"/>
      <c r="R19" s="84"/>
      <c r="S19" s="84"/>
      <c r="T19" s="84"/>
      <c r="U19" s="83"/>
      <c r="V19" s="83"/>
      <c r="W19" s="85"/>
      <c r="X19" s="86"/>
      <c r="Y19" s="86"/>
      <c r="Z19" s="86"/>
      <c r="AA19" s="86"/>
      <c r="AB19" s="77"/>
      <c r="AH19" s="83"/>
      <c r="AI19" s="84"/>
      <c r="AJ19" s="84"/>
      <c r="AK19" s="83"/>
      <c r="AL19" s="83"/>
      <c r="AM19" s="85"/>
      <c r="AN19" s="86"/>
      <c r="AO19" s="86"/>
      <c r="AP19" s="86"/>
      <c r="AQ19" s="86"/>
      <c r="AR19" s="77"/>
      <c r="AX19" s="83"/>
      <c r="AY19" s="84"/>
      <c r="AZ19" s="84"/>
      <c r="BA19" s="83"/>
      <c r="BB19" s="83"/>
      <c r="BC19" s="85"/>
      <c r="BD19" s="86"/>
      <c r="BE19" s="86"/>
      <c r="BF19" s="86"/>
      <c r="BG19" s="86"/>
      <c r="BH19" s="77"/>
      <c r="BN19" s="83"/>
      <c r="BO19" s="84"/>
      <c r="BP19" s="84"/>
      <c r="BQ19" s="83"/>
      <c r="BR19" s="83"/>
      <c r="BS19" s="85"/>
      <c r="BT19" s="86"/>
      <c r="BU19" s="86"/>
      <c r="BV19" s="86"/>
      <c r="BW19" s="86"/>
      <c r="BX19" s="77"/>
      <c r="CD19" s="83"/>
      <c r="CE19" s="84"/>
      <c r="CF19" s="84"/>
      <c r="CG19" s="83"/>
      <c r="CH19" s="83"/>
      <c r="CI19" s="85"/>
      <c r="CJ19" s="86"/>
      <c r="CK19" s="86"/>
      <c r="CL19" s="86"/>
      <c r="CM19" s="86"/>
      <c r="CN19" s="77"/>
      <c r="CT19" s="83"/>
      <c r="CU19" s="84"/>
      <c r="CV19" s="84"/>
      <c r="CW19" s="83"/>
      <c r="CX19" s="83"/>
      <c r="CY19" s="85"/>
      <c r="CZ19" s="86"/>
      <c r="DA19" s="86"/>
      <c r="DB19" s="86"/>
      <c r="DC19" s="86"/>
      <c r="DD19" s="77"/>
      <c r="DJ19" s="83"/>
      <c r="DK19" s="84"/>
      <c r="DL19" s="84"/>
      <c r="DM19" s="83"/>
      <c r="DN19" s="83"/>
      <c r="DO19" s="85"/>
      <c r="DP19" s="86"/>
      <c r="DQ19" s="86"/>
      <c r="DR19" s="86"/>
      <c r="DS19" s="86"/>
      <c r="DT19" s="77"/>
      <c r="DZ19" s="83"/>
      <c r="EA19" s="84"/>
      <c r="EB19" s="84"/>
      <c r="EC19" s="83"/>
      <c r="ED19" s="83"/>
      <c r="EE19" s="85"/>
      <c r="EF19" s="86"/>
      <c r="EG19" s="86"/>
      <c r="EH19" s="86"/>
      <c r="EI19" s="86"/>
      <c r="EJ19" s="77"/>
      <c r="EP19" s="83"/>
      <c r="EQ19" s="84"/>
      <c r="ER19" s="84"/>
      <c r="ES19" s="83"/>
      <c r="ET19" s="83"/>
      <c r="EU19" s="85"/>
      <c r="EV19" s="86"/>
      <c r="EW19" s="86"/>
      <c r="EX19" s="86"/>
      <c r="EY19" s="86"/>
      <c r="EZ19" s="77"/>
      <c r="FF19" s="83"/>
      <c r="FG19" s="84"/>
      <c r="FH19" s="84"/>
      <c r="FI19" s="83"/>
      <c r="FJ19" s="83"/>
      <c r="FK19" s="85"/>
      <c r="FL19" s="86"/>
      <c r="FM19" s="86"/>
      <c r="FN19" s="86"/>
      <c r="FO19" s="86"/>
      <c r="FP19" s="77"/>
      <c r="FV19" s="83"/>
      <c r="FW19" s="84"/>
      <c r="FX19" s="84"/>
      <c r="FY19" s="83"/>
      <c r="FZ19" s="83"/>
      <c r="GA19" s="85"/>
      <c r="GB19" s="86"/>
      <c r="GC19" s="86"/>
      <c r="GD19" s="86"/>
      <c r="GE19" s="86"/>
      <c r="GF19" s="77"/>
      <c r="GL19" s="83"/>
      <c r="GM19" s="84"/>
      <c r="GN19" s="84"/>
      <c r="GO19" s="83"/>
      <c r="GP19" s="83"/>
      <c r="GQ19" s="85"/>
      <c r="GR19" s="86"/>
      <c r="GS19" s="86"/>
      <c r="GT19" s="86"/>
      <c r="GU19" s="86"/>
      <c r="GV19" s="77"/>
      <c r="HB19" s="83"/>
      <c r="HC19" s="84"/>
      <c r="HD19" s="84"/>
      <c r="HE19" s="83"/>
      <c r="HF19" s="83"/>
      <c r="HG19" s="85"/>
      <c r="HH19" s="86"/>
      <c r="HI19" s="86"/>
      <c r="HJ19" s="86"/>
      <c r="HK19" s="86"/>
      <c r="HL19" s="77"/>
      <c r="HR19" s="83"/>
      <c r="HS19" s="84"/>
      <c r="HT19" s="84"/>
      <c r="HU19" s="83"/>
      <c r="HV19" s="83"/>
      <c r="HW19" s="85"/>
      <c r="HX19" s="86"/>
      <c r="HY19" s="86"/>
      <c r="HZ19" s="86"/>
      <c r="IA19" s="86"/>
      <c r="IB19" s="77"/>
      <c r="IH19" s="83"/>
      <c r="II19" s="84"/>
      <c r="IJ19" s="84"/>
      <c r="IK19" s="83"/>
      <c r="IL19" s="83"/>
      <c r="IM19" s="85"/>
      <c r="IN19" s="86"/>
      <c r="IO19" s="86"/>
      <c r="IP19" s="86"/>
      <c r="IQ19" s="86"/>
      <c r="IR19" s="77"/>
    </row>
    <row r="20" spans="1:257" s="82" customFormat="1" ht="43.5" customHeight="1" x14ac:dyDescent="0.25">
      <c r="B20" s="48"/>
      <c r="C20" s="48"/>
      <c r="D20" s="48"/>
      <c r="E20" s="48"/>
      <c r="F20" s="50" t="s">
        <v>144</v>
      </c>
      <c r="G20" s="48"/>
      <c r="H20" s="87"/>
      <c r="I20" s="50"/>
      <c r="J20" s="50"/>
      <c r="K20" s="65"/>
      <c r="L20" s="48"/>
      <c r="M20" s="48"/>
      <c r="N20" s="48"/>
      <c r="O20" s="48"/>
      <c r="P20" s="48"/>
      <c r="Q20" s="88"/>
      <c r="W20" s="89"/>
      <c r="Y20" s="90"/>
      <c r="Z20" s="89"/>
      <c r="AA20" s="89"/>
      <c r="AB20" s="77"/>
      <c r="AH20" s="88"/>
      <c r="AM20" s="89"/>
      <c r="AO20" s="90"/>
      <c r="AP20" s="89"/>
      <c r="AQ20" s="89"/>
      <c r="AR20" s="77"/>
      <c r="AX20" s="88"/>
      <c r="BC20" s="89"/>
      <c r="BE20" s="90"/>
      <c r="BF20" s="89"/>
      <c r="BG20" s="89"/>
      <c r="BH20" s="77"/>
      <c r="BN20" s="88"/>
      <c r="BS20" s="89"/>
      <c r="BU20" s="90"/>
      <c r="BV20" s="89"/>
      <c r="BW20" s="89"/>
      <c r="BX20" s="77"/>
      <c r="CD20" s="88"/>
      <c r="CI20" s="89"/>
      <c r="CK20" s="90"/>
      <c r="CL20" s="89"/>
      <c r="CM20" s="89"/>
      <c r="CN20" s="77"/>
      <c r="CT20" s="88"/>
      <c r="CY20" s="89"/>
      <c r="DA20" s="90"/>
      <c r="DB20" s="89"/>
      <c r="DC20" s="89"/>
      <c r="DD20" s="77"/>
      <c r="DJ20" s="88"/>
      <c r="DO20" s="89"/>
      <c r="DQ20" s="90"/>
      <c r="DR20" s="89"/>
      <c r="DS20" s="89"/>
      <c r="DT20" s="77"/>
      <c r="DZ20" s="88"/>
      <c r="EE20" s="89"/>
      <c r="EG20" s="90"/>
      <c r="EH20" s="89"/>
      <c r="EI20" s="89"/>
      <c r="EJ20" s="77"/>
      <c r="EP20" s="88"/>
      <c r="EU20" s="89"/>
      <c r="EW20" s="90"/>
      <c r="EX20" s="89"/>
      <c r="EY20" s="89"/>
      <c r="EZ20" s="77"/>
      <c r="FF20" s="88"/>
      <c r="FK20" s="89"/>
      <c r="FM20" s="90"/>
      <c r="FN20" s="89"/>
      <c r="FO20" s="89"/>
      <c r="FP20" s="77"/>
      <c r="FV20" s="88"/>
      <c r="GA20" s="89"/>
      <c r="GC20" s="90"/>
      <c r="GD20" s="89"/>
      <c r="GE20" s="89"/>
      <c r="GF20" s="77"/>
      <c r="GL20" s="88"/>
      <c r="GQ20" s="89"/>
      <c r="GS20" s="90"/>
      <c r="GT20" s="89"/>
      <c r="GU20" s="89"/>
      <c r="GV20" s="77"/>
      <c r="HB20" s="88"/>
      <c r="HG20" s="89"/>
      <c r="HI20" s="90"/>
      <c r="HJ20" s="89"/>
      <c r="HK20" s="89"/>
      <c r="HL20" s="77"/>
      <c r="HR20" s="88"/>
      <c r="HW20" s="89"/>
      <c r="HY20" s="90"/>
      <c r="HZ20" s="89"/>
      <c r="IA20" s="89"/>
      <c r="IB20" s="77"/>
      <c r="IH20" s="88"/>
      <c r="IM20" s="89"/>
      <c r="IO20" s="90"/>
      <c r="IP20" s="89"/>
      <c r="IQ20" s="89"/>
      <c r="IR20" s="77"/>
    </row>
    <row r="21" spans="1:257" s="82" customFormat="1" ht="53.25" hidden="1" customHeight="1" thickTop="1" x14ac:dyDescent="0.2">
      <c r="A21" s="51" t="s">
        <v>176</v>
      </c>
      <c r="B21" s="52"/>
      <c r="C21" s="52"/>
      <c r="D21" s="52"/>
      <c r="E21" s="53"/>
      <c r="F21" s="2507" t="s">
        <v>294</v>
      </c>
      <c r="G21" s="2508"/>
      <c r="H21" s="2508"/>
      <c r="I21" s="2508"/>
      <c r="J21" s="2508"/>
      <c r="K21" s="2508"/>
      <c r="L21" s="2508"/>
      <c r="M21" s="2508"/>
      <c r="N21" s="2508"/>
      <c r="O21" s="2508"/>
      <c r="P21" s="2508"/>
      <c r="Q21" s="92"/>
      <c r="R21" s="80"/>
      <c r="S21" s="80"/>
      <c r="T21" s="80"/>
      <c r="U21" s="80"/>
      <c r="V21" s="93"/>
      <c r="W21" s="94"/>
      <c r="X21" s="94"/>
      <c r="Y21" s="94"/>
      <c r="Z21" s="94"/>
      <c r="AA21" s="94"/>
      <c r="AB21" s="91"/>
      <c r="AC21" s="91"/>
      <c r="AD21" s="91"/>
      <c r="AE21" s="91"/>
      <c r="AF21" s="91"/>
      <c r="AG21" s="91"/>
      <c r="AH21" s="92"/>
      <c r="AI21" s="80"/>
      <c r="AJ21" s="80"/>
      <c r="AK21" s="80"/>
      <c r="AL21" s="93"/>
      <c r="AM21" s="94"/>
      <c r="AN21" s="94"/>
      <c r="AO21" s="94"/>
      <c r="AP21" s="94"/>
      <c r="AQ21" s="94"/>
      <c r="AR21" s="91"/>
      <c r="AS21" s="91"/>
      <c r="AT21" s="91"/>
      <c r="AU21" s="91"/>
      <c r="AV21" s="91"/>
      <c r="AW21" s="91"/>
      <c r="AX21" s="92"/>
      <c r="AY21" s="80"/>
      <c r="AZ21" s="80"/>
      <c r="BA21" s="80"/>
      <c r="BB21" s="93"/>
      <c r="BC21" s="94"/>
      <c r="BD21" s="94"/>
      <c r="BE21" s="94"/>
      <c r="BF21" s="94"/>
      <c r="BG21" s="94"/>
      <c r="BH21" s="91"/>
      <c r="BI21" s="91"/>
      <c r="BJ21" s="91"/>
      <c r="BK21" s="91"/>
      <c r="BL21" s="91"/>
      <c r="BM21" s="91"/>
      <c r="BN21" s="92"/>
      <c r="BO21" s="80"/>
      <c r="BP21" s="80"/>
      <c r="BQ21" s="80"/>
      <c r="BR21" s="93"/>
      <c r="BS21" s="94"/>
      <c r="BT21" s="94"/>
      <c r="BU21" s="94"/>
      <c r="BV21" s="94"/>
      <c r="BW21" s="94"/>
      <c r="BX21" s="91"/>
      <c r="BY21" s="91"/>
      <c r="BZ21" s="91"/>
      <c r="CA21" s="91"/>
      <c r="CB21" s="91"/>
      <c r="CC21" s="91"/>
      <c r="CD21" s="92"/>
      <c r="CE21" s="80"/>
      <c r="CF21" s="80"/>
      <c r="CG21" s="80"/>
      <c r="CH21" s="93"/>
      <c r="CI21" s="94"/>
      <c r="CJ21" s="94"/>
      <c r="CK21" s="94"/>
      <c r="CL21" s="94"/>
      <c r="CM21" s="94"/>
      <c r="CN21" s="91"/>
      <c r="CO21" s="91"/>
      <c r="CP21" s="91"/>
      <c r="CQ21" s="91"/>
      <c r="CR21" s="91"/>
      <c r="CS21" s="91"/>
      <c r="CT21" s="92"/>
      <c r="CU21" s="80"/>
      <c r="CV21" s="80"/>
      <c r="CW21" s="80"/>
      <c r="CX21" s="93"/>
      <c r="CY21" s="94"/>
      <c r="CZ21" s="94"/>
      <c r="DA21" s="94"/>
      <c r="DB21" s="94"/>
      <c r="DC21" s="94"/>
      <c r="DD21" s="91"/>
      <c r="DE21" s="91"/>
      <c r="DF21" s="91"/>
      <c r="DG21" s="91"/>
      <c r="DH21" s="91"/>
      <c r="DI21" s="91"/>
      <c r="DJ21" s="92"/>
      <c r="DK21" s="80"/>
      <c r="DL21" s="80"/>
      <c r="DM21" s="80"/>
      <c r="DN21" s="93"/>
      <c r="DO21" s="94"/>
      <c r="DP21" s="94"/>
      <c r="DQ21" s="94"/>
      <c r="DR21" s="94"/>
      <c r="DS21" s="94"/>
      <c r="DT21" s="91"/>
      <c r="DU21" s="91"/>
      <c r="DV21" s="91"/>
      <c r="DW21" s="91"/>
      <c r="DX21" s="91"/>
      <c r="DY21" s="91"/>
      <c r="DZ21" s="92"/>
      <c r="EA21" s="80"/>
      <c r="EB21" s="80"/>
      <c r="EC21" s="80"/>
      <c r="ED21" s="93"/>
      <c r="EE21" s="94"/>
      <c r="EF21" s="94"/>
      <c r="EG21" s="94"/>
      <c r="EH21" s="94"/>
      <c r="EI21" s="94"/>
      <c r="EJ21" s="91"/>
      <c r="EK21" s="91"/>
      <c r="EL21" s="91"/>
      <c r="EM21" s="91"/>
      <c r="EN21" s="91"/>
      <c r="EO21" s="91"/>
      <c r="EP21" s="92"/>
      <c r="EQ21" s="80"/>
      <c r="ER21" s="80"/>
      <c r="ES21" s="80"/>
      <c r="ET21" s="93"/>
      <c r="EU21" s="94"/>
      <c r="EV21" s="94"/>
      <c r="EW21" s="94"/>
      <c r="EX21" s="94"/>
      <c r="EY21" s="94"/>
      <c r="EZ21" s="91"/>
      <c r="FA21" s="91"/>
      <c r="FB21" s="91"/>
      <c r="FC21" s="91"/>
      <c r="FD21" s="91"/>
      <c r="FE21" s="91"/>
      <c r="FF21" s="92"/>
      <c r="FG21" s="80"/>
      <c r="FH21" s="80"/>
      <c r="FI21" s="80"/>
      <c r="FJ21" s="93"/>
      <c r="FK21" s="94"/>
      <c r="FL21" s="94"/>
      <c r="FM21" s="94"/>
      <c r="FN21" s="94"/>
      <c r="FO21" s="94"/>
      <c r="FP21" s="91"/>
      <c r="FQ21" s="91"/>
      <c r="FR21" s="91"/>
      <c r="FS21" s="91"/>
      <c r="FT21" s="91"/>
      <c r="FU21" s="91"/>
      <c r="FV21" s="92"/>
      <c r="FW21" s="80"/>
      <c r="FX21" s="80"/>
      <c r="FY21" s="80"/>
      <c r="FZ21" s="93"/>
      <c r="GA21" s="94"/>
      <c r="GB21" s="94"/>
      <c r="GC21" s="94"/>
      <c r="GD21" s="94"/>
      <c r="GE21" s="94"/>
      <c r="GF21" s="91"/>
      <c r="GG21" s="91"/>
      <c r="GH21" s="91"/>
      <c r="GI21" s="91"/>
      <c r="GJ21" s="91"/>
      <c r="GK21" s="91"/>
      <c r="GL21" s="92"/>
      <c r="GM21" s="80"/>
      <c r="GN21" s="80"/>
      <c r="GO21" s="80"/>
      <c r="GP21" s="93"/>
      <c r="GQ21" s="94"/>
      <c r="GR21" s="94"/>
      <c r="GS21" s="94"/>
      <c r="GT21" s="94"/>
      <c r="GU21" s="94"/>
      <c r="GV21" s="91"/>
      <c r="GW21" s="91"/>
      <c r="GX21" s="91"/>
      <c r="GY21" s="91"/>
      <c r="GZ21" s="91"/>
      <c r="HA21" s="91"/>
      <c r="HB21" s="92"/>
      <c r="HC21" s="80"/>
      <c r="HD21" s="80"/>
      <c r="HE21" s="80"/>
      <c r="HF21" s="93"/>
      <c r="HG21" s="94"/>
      <c r="HH21" s="94"/>
      <c r="HI21" s="94"/>
      <c r="HJ21" s="94"/>
      <c r="HK21" s="94"/>
      <c r="HL21" s="91"/>
      <c r="HM21" s="91"/>
      <c r="HN21" s="91"/>
      <c r="HO21" s="91"/>
      <c r="HP21" s="91"/>
      <c r="HQ21" s="91"/>
      <c r="HR21" s="92"/>
      <c r="HS21" s="80"/>
      <c r="HT21" s="80"/>
      <c r="HU21" s="80"/>
      <c r="HV21" s="93"/>
      <c r="HW21" s="94"/>
      <c r="HX21" s="94"/>
      <c r="HY21" s="94"/>
      <c r="HZ21" s="94"/>
      <c r="IA21" s="94"/>
      <c r="IB21" s="91"/>
      <c r="IC21" s="91"/>
      <c r="ID21" s="91"/>
      <c r="IE21" s="91"/>
      <c r="IF21" s="91"/>
      <c r="IG21" s="91"/>
      <c r="IH21" s="92"/>
      <c r="II21" s="80"/>
      <c r="IJ21" s="80"/>
      <c r="IK21" s="80"/>
      <c r="IL21" s="93"/>
      <c r="IM21" s="94"/>
      <c r="IN21" s="94"/>
      <c r="IO21" s="94"/>
      <c r="IP21" s="94"/>
      <c r="IQ21" s="94"/>
      <c r="IR21" s="91"/>
      <c r="IS21" s="91"/>
      <c r="IT21" s="91"/>
      <c r="IU21" s="91"/>
      <c r="IV21" s="91"/>
      <c r="IW21" s="91"/>
    </row>
    <row r="22" spans="1:257" s="82" customFormat="1" ht="60.75" hidden="1" customHeight="1" x14ac:dyDescent="0.2">
      <c r="A22" s="56"/>
      <c r="B22" s="95"/>
      <c r="C22" s="95"/>
      <c r="D22" s="95"/>
      <c r="E22" s="95"/>
      <c r="F22" s="2509" t="s">
        <v>295</v>
      </c>
      <c r="G22" s="2510"/>
      <c r="H22" s="332" t="s">
        <v>97</v>
      </c>
      <c r="I22" s="332" t="s">
        <v>98</v>
      </c>
      <c r="J22" s="332" t="s">
        <v>99</v>
      </c>
      <c r="K22" s="332" t="s">
        <v>100</v>
      </c>
      <c r="L22" s="332" t="s">
        <v>101</v>
      </c>
      <c r="M22" s="332" t="s">
        <v>122</v>
      </c>
      <c r="N22" s="332" t="s">
        <v>267</v>
      </c>
      <c r="O22" s="333" t="s">
        <v>319</v>
      </c>
      <c r="P22" s="333" t="s">
        <v>320</v>
      </c>
      <c r="Q22" s="333" t="s">
        <v>342</v>
      </c>
      <c r="R22" s="333" t="s">
        <v>343</v>
      </c>
      <c r="S22" s="333"/>
      <c r="T22" s="333" t="s">
        <v>410</v>
      </c>
      <c r="U22" s="333" t="s">
        <v>411</v>
      </c>
      <c r="V22" s="333" t="s">
        <v>410</v>
      </c>
      <c r="W22" s="333" t="s">
        <v>411</v>
      </c>
      <c r="X22" s="97"/>
      <c r="Y22" s="97"/>
      <c r="Z22" s="98"/>
      <c r="AA22" s="98"/>
      <c r="AB22" s="86"/>
      <c r="AC22" s="99"/>
      <c r="AD22" s="99"/>
      <c r="AE22" s="99"/>
      <c r="AF22" s="99"/>
      <c r="AG22" s="100"/>
      <c r="AH22" s="101"/>
      <c r="AI22" s="96"/>
      <c r="AJ22" s="96"/>
      <c r="AK22" s="96"/>
      <c r="AL22" s="96"/>
      <c r="AM22" s="97"/>
      <c r="AN22" s="97"/>
      <c r="AO22" s="97"/>
      <c r="AP22" s="98"/>
      <c r="AQ22" s="98"/>
      <c r="AR22" s="86"/>
      <c r="AS22" s="99"/>
      <c r="AT22" s="99"/>
      <c r="AU22" s="99"/>
      <c r="AV22" s="99"/>
      <c r="AW22" s="100"/>
      <c r="AX22" s="101"/>
      <c r="AY22" s="96"/>
      <c r="AZ22" s="96"/>
      <c r="BA22" s="96"/>
      <c r="BB22" s="96"/>
      <c r="BC22" s="97"/>
      <c r="BD22" s="97"/>
      <c r="BE22" s="97"/>
      <c r="BF22" s="98"/>
      <c r="BG22" s="98"/>
      <c r="BH22" s="86"/>
      <c r="BI22" s="99"/>
      <c r="BJ22" s="99"/>
      <c r="BK22" s="99"/>
      <c r="BL22" s="99"/>
      <c r="BM22" s="100"/>
      <c r="BN22" s="101"/>
      <c r="BO22" s="96"/>
      <c r="BP22" s="96"/>
      <c r="BQ22" s="96"/>
      <c r="BR22" s="96"/>
      <c r="BS22" s="97"/>
      <c r="BT22" s="97"/>
      <c r="BU22" s="97"/>
      <c r="BV22" s="98"/>
      <c r="BW22" s="98"/>
      <c r="BX22" s="86"/>
      <c r="BY22" s="99"/>
      <c r="BZ22" s="99"/>
      <c r="CA22" s="99"/>
      <c r="CB22" s="99"/>
      <c r="CC22" s="100"/>
      <c r="CD22" s="101"/>
      <c r="CE22" s="96"/>
      <c r="CF22" s="96"/>
      <c r="CG22" s="96"/>
      <c r="CH22" s="96"/>
      <c r="CI22" s="97"/>
      <c r="CJ22" s="97"/>
      <c r="CK22" s="97"/>
      <c r="CL22" s="98"/>
      <c r="CM22" s="98"/>
      <c r="CN22" s="86"/>
      <c r="CO22" s="99"/>
      <c r="CP22" s="99"/>
      <c r="CQ22" s="99"/>
      <c r="CR22" s="99"/>
      <c r="CS22" s="100"/>
      <c r="CT22" s="101"/>
      <c r="CU22" s="96"/>
      <c r="CV22" s="96"/>
      <c r="CW22" s="96"/>
      <c r="CX22" s="96"/>
      <c r="CY22" s="97"/>
      <c r="CZ22" s="97"/>
      <c r="DA22" s="97"/>
      <c r="DB22" s="98"/>
      <c r="DC22" s="98"/>
      <c r="DD22" s="86"/>
      <c r="DE22" s="99"/>
      <c r="DF22" s="99"/>
      <c r="DG22" s="99"/>
      <c r="DH22" s="99"/>
      <c r="DI22" s="100"/>
      <c r="DJ22" s="101"/>
      <c r="DK22" s="96"/>
      <c r="DL22" s="96"/>
      <c r="DM22" s="96"/>
      <c r="DN22" s="96"/>
      <c r="DO22" s="97"/>
      <c r="DP22" s="97"/>
      <c r="DQ22" s="97"/>
      <c r="DR22" s="98"/>
      <c r="DS22" s="98"/>
      <c r="DT22" s="86"/>
      <c r="DU22" s="99"/>
      <c r="DV22" s="99"/>
      <c r="DW22" s="99"/>
      <c r="DX22" s="99"/>
      <c r="DY22" s="100"/>
      <c r="DZ22" s="101"/>
      <c r="EA22" s="96"/>
      <c r="EB22" s="96"/>
      <c r="EC22" s="96"/>
      <c r="ED22" s="96"/>
      <c r="EE22" s="97"/>
      <c r="EF22" s="97"/>
      <c r="EG22" s="97"/>
      <c r="EH22" s="98"/>
      <c r="EI22" s="98"/>
      <c r="EJ22" s="86"/>
      <c r="EK22" s="99"/>
      <c r="EL22" s="99"/>
      <c r="EM22" s="99"/>
      <c r="EN22" s="99"/>
      <c r="EO22" s="100"/>
      <c r="EP22" s="101"/>
      <c r="EQ22" s="96"/>
      <c r="ER22" s="96"/>
      <c r="ES22" s="96"/>
      <c r="ET22" s="96"/>
      <c r="EU22" s="97"/>
      <c r="EV22" s="97"/>
      <c r="EW22" s="97"/>
      <c r="EX22" s="98"/>
      <c r="EY22" s="98"/>
      <c r="EZ22" s="86"/>
      <c r="FA22" s="99"/>
      <c r="FB22" s="99"/>
      <c r="FC22" s="99"/>
      <c r="FD22" s="99"/>
      <c r="FE22" s="100"/>
      <c r="FF22" s="101"/>
      <c r="FG22" s="96"/>
      <c r="FH22" s="96"/>
      <c r="FI22" s="96"/>
      <c r="FJ22" s="96"/>
      <c r="FK22" s="97"/>
      <c r="FL22" s="97"/>
      <c r="FM22" s="97"/>
      <c r="FN22" s="98"/>
      <c r="FO22" s="98"/>
      <c r="FP22" s="86"/>
      <c r="FQ22" s="99"/>
      <c r="FR22" s="99"/>
      <c r="FS22" s="99"/>
      <c r="FT22" s="99"/>
      <c r="FU22" s="100"/>
      <c r="FV22" s="101"/>
      <c r="FW22" s="96"/>
      <c r="FX22" s="96"/>
      <c r="FY22" s="96"/>
      <c r="FZ22" s="96"/>
      <c r="GA22" s="97"/>
      <c r="GB22" s="97"/>
      <c r="GC22" s="97"/>
      <c r="GD22" s="98"/>
      <c r="GE22" s="98"/>
      <c r="GF22" s="86"/>
      <c r="GG22" s="99"/>
      <c r="GH22" s="99"/>
      <c r="GI22" s="99"/>
      <c r="GJ22" s="99"/>
      <c r="GK22" s="100"/>
      <c r="GL22" s="101"/>
      <c r="GM22" s="96"/>
      <c r="GN22" s="96"/>
      <c r="GO22" s="96"/>
      <c r="GP22" s="96"/>
      <c r="GQ22" s="97"/>
      <c r="GR22" s="97"/>
      <c r="GS22" s="97"/>
      <c r="GT22" s="98"/>
      <c r="GU22" s="98"/>
      <c r="GV22" s="86"/>
      <c r="GW22" s="99"/>
      <c r="GX22" s="99"/>
      <c r="GY22" s="99"/>
      <c r="GZ22" s="99"/>
      <c r="HA22" s="100"/>
      <c r="HB22" s="101"/>
      <c r="HC22" s="96"/>
      <c r="HD22" s="96"/>
      <c r="HE22" s="96"/>
      <c r="HF22" s="96"/>
      <c r="HG22" s="97"/>
      <c r="HH22" s="97"/>
      <c r="HI22" s="97"/>
      <c r="HJ22" s="98"/>
      <c r="HK22" s="98"/>
      <c r="HL22" s="86"/>
      <c r="HM22" s="99"/>
      <c r="HN22" s="99"/>
      <c r="HO22" s="99"/>
      <c r="HP22" s="99"/>
      <c r="HQ22" s="100"/>
      <c r="HR22" s="101"/>
      <c r="HS22" s="96"/>
      <c r="HT22" s="96"/>
      <c r="HU22" s="96"/>
      <c r="HV22" s="96"/>
      <c r="HW22" s="97"/>
      <c r="HX22" s="97"/>
      <c r="HY22" s="97"/>
      <c r="HZ22" s="98"/>
      <c r="IA22" s="98"/>
      <c r="IB22" s="86"/>
      <c r="IC22" s="99"/>
      <c r="ID22" s="99"/>
      <c r="IE22" s="99"/>
      <c r="IF22" s="99"/>
      <c r="IG22" s="100"/>
      <c r="IH22" s="101"/>
      <c r="II22" s="96"/>
      <c r="IJ22" s="96"/>
      <c r="IK22" s="96"/>
      <c r="IL22" s="96"/>
      <c r="IM22" s="97"/>
      <c r="IN22" s="97"/>
      <c r="IO22" s="97"/>
      <c r="IP22" s="98"/>
      <c r="IQ22" s="98"/>
      <c r="IR22" s="86"/>
      <c r="IS22" s="99"/>
      <c r="IT22" s="99"/>
      <c r="IU22" s="99"/>
      <c r="IV22" s="99"/>
      <c r="IW22" s="100"/>
    </row>
    <row r="23" spans="1:257" s="82" customFormat="1" ht="40.5" hidden="1" customHeight="1" x14ac:dyDescent="0.2">
      <c r="A23" s="56"/>
      <c r="B23" s="95"/>
      <c r="C23" s="95"/>
      <c r="D23" s="95"/>
      <c r="E23" s="95"/>
      <c r="F23" s="2485" t="s">
        <v>296</v>
      </c>
      <c r="G23" s="2486"/>
      <c r="H23" s="334">
        <v>0.03</v>
      </c>
      <c r="I23" s="334">
        <v>0.03</v>
      </c>
      <c r="J23" s="334">
        <v>0.03</v>
      </c>
      <c r="K23" s="334">
        <v>0.03</v>
      </c>
      <c r="L23" s="334">
        <v>0.03</v>
      </c>
      <c r="M23" s="334">
        <v>0.03</v>
      </c>
      <c r="N23" s="334">
        <v>0.03</v>
      </c>
      <c r="O23" s="334">
        <v>0.03</v>
      </c>
      <c r="P23" s="334">
        <v>0.03</v>
      </c>
      <c r="Q23" s="334">
        <v>0.03</v>
      </c>
      <c r="R23" s="334">
        <v>0.03</v>
      </c>
      <c r="S23" s="334"/>
      <c r="T23" s="334">
        <v>0.03</v>
      </c>
      <c r="U23" s="334">
        <v>0.03</v>
      </c>
      <c r="V23" s="334">
        <v>0.03</v>
      </c>
      <c r="W23" s="334">
        <v>0.03</v>
      </c>
      <c r="X23" s="103"/>
      <c r="Y23" s="104"/>
      <c r="Z23" s="104"/>
      <c r="AA23" s="104"/>
      <c r="AB23" s="105"/>
      <c r="AC23" s="78"/>
      <c r="AD23" s="78"/>
      <c r="AE23" s="78"/>
      <c r="AF23" s="78"/>
      <c r="AG23" s="106"/>
      <c r="AH23" s="101"/>
      <c r="AI23" s="96"/>
      <c r="AJ23" s="96"/>
      <c r="AK23" s="96"/>
      <c r="AL23" s="96"/>
      <c r="AM23" s="102"/>
      <c r="AN23" s="103"/>
      <c r="AO23" s="104"/>
      <c r="AP23" s="104"/>
      <c r="AQ23" s="104"/>
      <c r="AR23" s="105"/>
      <c r="AS23" s="78"/>
      <c r="AT23" s="78"/>
      <c r="AU23" s="78"/>
      <c r="AV23" s="78"/>
      <c r="AW23" s="106"/>
      <c r="AX23" s="101"/>
      <c r="AY23" s="96"/>
      <c r="AZ23" s="96"/>
      <c r="BA23" s="96"/>
      <c r="BB23" s="96"/>
      <c r="BC23" s="102"/>
      <c r="BD23" s="103"/>
      <c r="BE23" s="104"/>
      <c r="BF23" s="104"/>
      <c r="BG23" s="104"/>
      <c r="BH23" s="105"/>
      <c r="BI23" s="78"/>
      <c r="BJ23" s="78"/>
      <c r="BK23" s="78"/>
      <c r="BL23" s="78"/>
      <c r="BM23" s="106"/>
      <c r="BN23" s="101"/>
      <c r="BO23" s="96"/>
      <c r="BP23" s="96"/>
      <c r="BQ23" s="96"/>
      <c r="BR23" s="96"/>
      <c r="BS23" s="102"/>
      <c r="BT23" s="103"/>
      <c r="BU23" s="104"/>
      <c r="BV23" s="104"/>
      <c r="BW23" s="104"/>
      <c r="BX23" s="105"/>
      <c r="BY23" s="78"/>
      <c r="BZ23" s="78"/>
      <c r="CA23" s="78"/>
      <c r="CB23" s="78"/>
      <c r="CC23" s="106"/>
      <c r="CD23" s="101"/>
      <c r="CE23" s="96"/>
      <c r="CF23" s="96"/>
      <c r="CG23" s="96"/>
      <c r="CH23" s="96"/>
      <c r="CI23" s="102"/>
      <c r="CJ23" s="103"/>
      <c r="CK23" s="104"/>
      <c r="CL23" s="104"/>
      <c r="CM23" s="104"/>
      <c r="CN23" s="105"/>
      <c r="CO23" s="78"/>
      <c r="CP23" s="78"/>
      <c r="CQ23" s="78"/>
      <c r="CR23" s="78"/>
      <c r="CS23" s="106"/>
      <c r="CT23" s="101"/>
      <c r="CU23" s="96"/>
      <c r="CV23" s="96"/>
      <c r="CW23" s="96"/>
      <c r="CX23" s="96"/>
      <c r="CY23" s="102"/>
      <c r="CZ23" s="103"/>
      <c r="DA23" s="104"/>
      <c r="DB23" s="104"/>
      <c r="DC23" s="104"/>
      <c r="DD23" s="105"/>
      <c r="DE23" s="78"/>
      <c r="DF23" s="78"/>
      <c r="DG23" s="78"/>
      <c r="DH23" s="78"/>
      <c r="DI23" s="106"/>
      <c r="DJ23" s="101"/>
      <c r="DK23" s="96"/>
      <c r="DL23" s="96"/>
      <c r="DM23" s="96"/>
      <c r="DN23" s="96"/>
      <c r="DO23" s="102"/>
      <c r="DP23" s="103"/>
      <c r="DQ23" s="104"/>
      <c r="DR23" s="104"/>
      <c r="DS23" s="104"/>
      <c r="DT23" s="105"/>
      <c r="DU23" s="78"/>
      <c r="DV23" s="78"/>
      <c r="DW23" s="78"/>
      <c r="DX23" s="78"/>
      <c r="DY23" s="106"/>
      <c r="DZ23" s="101"/>
      <c r="EA23" s="96"/>
      <c r="EB23" s="96"/>
      <c r="EC23" s="96"/>
      <c r="ED23" s="96"/>
      <c r="EE23" s="102"/>
      <c r="EF23" s="103"/>
      <c r="EG23" s="104"/>
      <c r="EH23" s="104"/>
      <c r="EI23" s="104"/>
      <c r="EJ23" s="105"/>
      <c r="EK23" s="78"/>
      <c r="EL23" s="78"/>
      <c r="EM23" s="78"/>
      <c r="EN23" s="78"/>
      <c r="EO23" s="106"/>
      <c r="EP23" s="101"/>
      <c r="EQ23" s="96"/>
      <c r="ER23" s="96"/>
      <c r="ES23" s="96"/>
      <c r="ET23" s="96"/>
      <c r="EU23" s="102"/>
      <c r="EV23" s="103"/>
      <c r="EW23" s="104"/>
      <c r="EX23" s="104"/>
      <c r="EY23" s="104"/>
      <c r="EZ23" s="105"/>
      <c r="FA23" s="78"/>
      <c r="FB23" s="78"/>
      <c r="FC23" s="78"/>
      <c r="FD23" s="78"/>
      <c r="FE23" s="106"/>
      <c r="FF23" s="101"/>
      <c r="FG23" s="96"/>
      <c r="FH23" s="96"/>
      <c r="FI23" s="96"/>
      <c r="FJ23" s="96"/>
      <c r="FK23" s="102"/>
      <c r="FL23" s="103"/>
      <c r="FM23" s="104"/>
      <c r="FN23" s="104"/>
      <c r="FO23" s="104"/>
      <c r="FP23" s="105"/>
      <c r="FQ23" s="78"/>
      <c r="FR23" s="78"/>
      <c r="FS23" s="78"/>
      <c r="FT23" s="78"/>
      <c r="FU23" s="106"/>
      <c r="FV23" s="101"/>
      <c r="FW23" s="96"/>
      <c r="FX23" s="96"/>
      <c r="FY23" s="96"/>
      <c r="FZ23" s="96"/>
      <c r="GA23" s="102"/>
      <c r="GB23" s="103"/>
      <c r="GC23" s="104"/>
      <c r="GD23" s="104"/>
      <c r="GE23" s="104"/>
      <c r="GF23" s="105"/>
      <c r="GG23" s="78"/>
      <c r="GH23" s="78"/>
      <c r="GI23" s="78"/>
      <c r="GJ23" s="78"/>
      <c r="GK23" s="106"/>
      <c r="GL23" s="101"/>
      <c r="GM23" s="96"/>
      <c r="GN23" s="96"/>
      <c r="GO23" s="96"/>
      <c r="GP23" s="96"/>
      <c r="GQ23" s="102"/>
      <c r="GR23" s="103"/>
      <c r="GS23" s="104"/>
      <c r="GT23" s="104"/>
      <c r="GU23" s="104"/>
      <c r="GV23" s="105"/>
      <c r="GW23" s="78"/>
      <c r="GX23" s="78"/>
      <c r="GY23" s="78"/>
      <c r="GZ23" s="78"/>
      <c r="HA23" s="106"/>
      <c r="HB23" s="101"/>
      <c r="HC23" s="96"/>
      <c r="HD23" s="96"/>
      <c r="HE23" s="96"/>
      <c r="HF23" s="96"/>
      <c r="HG23" s="102"/>
      <c r="HH23" s="103"/>
      <c r="HI23" s="104"/>
      <c r="HJ23" s="104"/>
      <c r="HK23" s="104"/>
      <c r="HL23" s="105"/>
      <c r="HM23" s="78"/>
      <c r="HN23" s="78"/>
      <c r="HO23" s="78"/>
      <c r="HP23" s="78"/>
      <c r="HQ23" s="106"/>
      <c r="HR23" s="101"/>
      <c r="HS23" s="96"/>
      <c r="HT23" s="96"/>
      <c r="HU23" s="96"/>
      <c r="HV23" s="96"/>
      <c r="HW23" s="102"/>
      <c r="HX23" s="103"/>
      <c r="HY23" s="104"/>
      <c r="HZ23" s="104"/>
      <c r="IA23" s="104"/>
      <c r="IB23" s="105"/>
      <c r="IC23" s="78"/>
      <c r="ID23" s="78"/>
      <c r="IE23" s="78"/>
      <c r="IF23" s="78"/>
      <c r="IG23" s="106"/>
      <c r="IH23" s="101"/>
      <c r="II23" s="96"/>
      <c r="IJ23" s="96"/>
      <c r="IK23" s="96"/>
      <c r="IL23" s="96"/>
      <c r="IM23" s="102"/>
      <c r="IN23" s="103"/>
      <c r="IO23" s="104"/>
      <c r="IP23" s="104"/>
      <c r="IQ23" s="104"/>
      <c r="IR23" s="105"/>
      <c r="IS23" s="78"/>
      <c r="IT23" s="78"/>
      <c r="IU23" s="78"/>
      <c r="IV23" s="78"/>
      <c r="IW23" s="106"/>
    </row>
    <row r="24" spans="1:257" s="82" customFormat="1" ht="64.5" hidden="1" customHeight="1" x14ac:dyDescent="0.2">
      <c r="A24" s="56"/>
      <c r="B24" s="95"/>
      <c r="C24" s="95"/>
      <c r="D24" s="95"/>
      <c r="E24" s="95"/>
      <c r="F24" s="2485" t="s">
        <v>297</v>
      </c>
      <c r="G24" s="2486"/>
      <c r="H24" s="335">
        <f>D34</f>
        <v>0.7400000000000001</v>
      </c>
      <c r="I24" s="335">
        <f>F34</f>
        <v>0.64</v>
      </c>
      <c r="J24" s="335">
        <f>H34</f>
        <v>0.71666666666666667</v>
      </c>
      <c r="K24" s="335">
        <f>J34</f>
        <v>0.91879999999999995</v>
      </c>
      <c r="L24" s="335">
        <v>0.84899999999999998</v>
      </c>
      <c r="M24" s="335">
        <f>N34</f>
        <v>0.79249999999999998</v>
      </c>
      <c r="N24" s="335">
        <f>P34</f>
        <v>0.8</v>
      </c>
      <c r="O24" s="335">
        <v>0.83</v>
      </c>
      <c r="P24" s="335">
        <v>0.81</v>
      </c>
      <c r="Q24" s="335">
        <f>W34</f>
        <v>0.86249999999999993</v>
      </c>
      <c r="R24" s="335">
        <v>0.87</v>
      </c>
      <c r="S24" s="335"/>
      <c r="T24" s="335">
        <f>Y34</f>
        <v>0.87</v>
      </c>
      <c r="U24" s="335">
        <f>AA34</f>
        <v>0</v>
      </c>
      <c r="V24" s="335">
        <f>AA34</f>
        <v>0</v>
      </c>
      <c r="W24" s="335">
        <f>AC34</f>
        <v>0</v>
      </c>
      <c r="X24" s="103"/>
      <c r="Y24" s="107"/>
      <c r="Z24" s="107"/>
      <c r="AA24" s="107"/>
      <c r="AB24" s="108"/>
      <c r="AC24" s="109"/>
      <c r="AD24" s="109"/>
      <c r="AE24" s="109"/>
      <c r="AF24" s="109"/>
      <c r="AG24" s="110"/>
      <c r="AH24" s="101"/>
      <c r="AI24" s="96"/>
      <c r="AJ24" s="96"/>
      <c r="AK24" s="96"/>
      <c r="AL24" s="96"/>
      <c r="AM24" s="102"/>
      <c r="AN24" s="103"/>
      <c r="AO24" s="107"/>
      <c r="AP24" s="107"/>
      <c r="AQ24" s="107"/>
      <c r="AR24" s="108"/>
      <c r="AS24" s="109"/>
      <c r="AT24" s="109"/>
      <c r="AU24" s="109"/>
      <c r="AV24" s="109"/>
      <c r="AW24" s="110"/>
      <c r="AX24" s="101"/>
      <c r="AY24" s="96"/>
      <c r="AZ24" s="96"/>
      <c r="BA24" s="96"/>
      <c r="BB24" s="96"/>
      <c r="BC24" s="102"/>
      <c r="BD24" s="103"/>
      <c r="BE24" s="107"/>
      <c r="BF24" s="107"/>
      <c r="BG24" s="107"/>
      <c r="BH24" s="108"/>
      <c r="BI24" s="109"/>
      <c r="BJ24" s="109"/>
      <c r="BK24" s="109"/>
      <c r="BL24" s="109"/>
      <c r="BM24" s="110"/>
      <c r="BN24" s="101"/>
      <c r="BO24" s="96"/>
      <c r="BP24" s="96"/>
      <c r="BQ24" s="96"/>
      <c r="BR24" s="96"/>
      <c r="BS24" s="102"/>
      <c r="BT24" s="103"/>
      <c r="BU24" s="107"/>
      <c r="BV24" s="107"/>
      <c r="BW24" s="107"/>
      <c r="BX24" s="108"/>
      <c r="BY24" s="109"/>
      <c r="BZ24" s="109"/>
      <c r="CA24" s="109"/>
      <c r="CB24" s="109"/>
      <c r="CC24" s="110"/>
      <c r="CD24" s="101"/>
      <c r="CE24" s="96"/>
      <c r="CF24" s="96"/>
      <c r="CG24" s="96"/>
      <c r="CH24" s="96"/>
      <c r="CI24" s="102"/>
      <c r="CJ24" s="103"/>
      <c r="CK24" s="107"/>
      <c r="CL24" s="107"/>
      <c r="CM24" s="107"/>
      <c r="CN24" s="108"/>
      <c r="CO24" s="109"/>
      <c r="CP24" s="109"/>
      <c r="CQ24" s="109"/>
      <c r="CR24" s="109"/>
      <c r="CS24" s="110"/>
      <c r="CT24" s="101"/>
      <c r="CU24" s="96"/>
      <c r="CV24" s="96"/>
      <c r="CW24" s="96"/>
      <c r="CX24" s="96"/>
      <c r="CY24" s="102"/>
      <c r="CZ24" s="103"/>
      <c r="DA24" s="107"/>
      <c r="DB24" s="107"/>
      <c r="DC24" s="107"/>
      <c r="DD24" s="108"/>
      <c r="DE24" s="109"/>
      <c r="DF24" s="109"/>
      <c r="DG24" s="109"/>
      <c r="DH24" s="109"/>
      <c r="DI24" s="110"/>
      <c r="DJ24" s="101"/>
      <c r="DK24" s="96"/>
      <c r="DL24" s="96"/>
      <c r="DM24" s="96"/>
      <c r="DN24" s="96"/>
      <c r="DO24" s="102"/>
      <c r="DP24" s="103"/>
      <c r="DQ24" s="107"/>
      <c r="DR24" s="107"/>
      <c r="DS24" s="107"/>
      <c r="DT24" s="108"/>
      <c r="DU24" s="109"/>
      <c r="DV24" s="109"/>
      <c r="DW24" s="109"/>
      <c r="DX24" s="109"/>
      <c r="DY24" s="110"/>
      <c r="DZ24" s="101"/>
      <c r="EA24" s="96"/>
      <c r="EB24" s="96"/>
      <c r="EC24" s="96"/>
      <c r="ED24" s="96"/>
      <c r="EE24" s="102"/>
      <c r="EF24" s="103"/>
      <c r="EG24" s="107"/>
      <c r="EH24" s="107"/>
      <c r="EI24" s="107"/>
      <c r="EJ24" s="108"/>
      <c r="EK24" s="109"/>
      <c r="EL24" s="109"/>
      <c r="EM24" s="109"/>
      <c r="EN24" s="109"/>
      <c r="EO24" s="110"/>
      <c r="EP24" s="101"/>
      <c r="EQ24" s="96"/>
      <c r="ER24" s="96"/>
      <c r="ES24" s="96"/>
      <c r="ET24" s="96"/>
      <c r="EU24" s="102"/>
      <c r="EV24" s="103"/>
      <c r="EW24" s="107"/>
      <c r="EX24" s="107"/>
      <c r="EY24" s="107"/>
      <c r="EZ24" s="108"/>
      <c r="FA24" s="109"/>
      <c r="FB24" s="109"/>
      <c r="FC24" s="109"/>
      <c r="FD24" s="109"/>
      <c r="FE24" s="110"/>
      <c r="FF24" s="101"/>
      <c r="FG24" s="96"/>
      <c r="FH24" s="96"/>
      <c r="FI24" s="96"/>
      <c r="FJ24" s="96"/>
      <c r="FK24" s="102"/>
      <c r="FL24" s="103"/>
      <c r="FM24" s="107"/>
      <c r="FN24" s="107"/>
      <c r="FO24" s="107"/>
      <c r="FP24" s="108"/>
      <c r="FQ24" s="109"/>
      <c r="FR24" s="109"/>
      <c r="FS24" s="109"/>
      <c r="FT24" s="109"/>
      <c r="FU24" s="110"/>
      <c r="FV24" s="101"/>
      <c r="FW24" s="96"/>
      <c r="FX24" s="96"/>
      <c r="FY24" s="96"/>
      <c r="FZ24" s="96"/>
      <c r="GA24" s="102"/>
      <c r="GB24" s="103"/>
      <c r="GC24" s="107"/>
      <c r="GD24" s="107"/>
      <c r="GE24" s="107"/>
      <c r="GF24" s="108"/>
      <c r="GG24" s="109"/>
      <c r="GH24" s="109"/>
      <c r="GI24" s="109"/>
      <c r="GJ24" s="109"/>
      <c r="GK24" s="110"/>
      <c r="GL24" s="101"/>
      <c r="GM24" s="96"/>
      <c r="GN24" s="96"/>
      <c r="GO24" s="96"/>
      <c r="GP24" s="96"/>
      <c r="GQ24" s="102"/>
      <c r="GR24" s="103"/>
      <c r="GS24" s="107"/>
      <c r="GT24" s="107"/>
      <c r="GU24" s="107"/>
      <c r="GV24" s="108"/>
      <c r="GW24" s="109"/>
      <c r="GX24" s="109"/>
      <c r="GY24" s="109"/>
      <c r="GZ24" s="109"/>
      <c r="HA24" s="110"/>
      <c r="HB24" s="101"/>
      <c r="HC24" s="96"/>
      <c r="HD24" s="96"/>
      <c r="HE24" s="96"/>
      <c r="HF24" s="96"/>
      <c r="HG24" s="102"/>
      <c r="HH24" s="103"/>
      <c r="HI24" s="107"/>
      <c r="HJ24" s="107"/>
      <c r="HK24" s="107"/>
      <c r="HL24" s="108"/>
      <c r="HM24" s="109"/>
      <c r="HN24" s="109"/>
      <c r="HO24" s="109"/>
      <c r="HP24" s="109"/>
      <c r="HQ24" s="110"/>
      <c r="HR24" s="101"/>
      <c r="HS24" s="96"/>
      <c r="HT24" s="96"/>
      <c r="HU24" s="96"/>
      <c r="HV24" s="96"/>
      <c r="HW24" s="102"/>
      <c r="HX24" s="103"/>
      <c r="HY24" s="107"/>
      <c r="HZ24" s="107"/>
      <c r="IA24" s="107"/>
      <c r="IB24" s="108"/>
      <c r="IC24" s="109"/>
      <c r="ID24" s="109"/>
      <c r="IE24" s="109"/>
      <c r="IF24" s="109"/>
      <c r="IG24" s="110"/>
      <c r="IH24" s="101"/>
      <c r="II24" s="96"/>
      <c r="IJ24" s="96"/>
      <c r="IK24" s="96"/>
      <c r="IL24" s="96"/>
      <c r="IM24" s="102"/>
      <c r="IN24" s="103"/>
      <c r="IO24" s="107"/>
      <c r="IP24" s="107"/>
      <c r="IQ24" s="107"/>
      <c r="IR24" s="108"/>
      <c r="IS24" s="109"/>
      <c r="IT24" s="109"/>
      <c r="IU24" s="109"/>
      <c r="IV24" s="109"/>
      <c r="IW24" s="110"/>
    </row>
    <row r="25" spans="1:257" s="82" customFormat="1" ht="84" hidden="1" customHeight="1" x14ac:dyDescent="0.2">
      <c r="A25" s="56"/>
      <c r="B25" s="95"/>
      <c r="C25" s="95"/>
      <c r="D25" s="95"/>
      <c r="E25" s="95"/>
      <c r="F25" s="2485" t="s">
        <v>298</v>
      </c>
      <c r="G25" s="2486"/>
      <c r="H25" s="336">
        <f>E34</f>
        <v>7.4000000000000012E-3</v>
      </c>
      <c r="I25" s="336">
        <f>G34</f>
        <v>6.4000000000000003E-3</v>
      </c>
      <c r="J25" s="336">
        <f>I34</f>
        <v>5.3749999999999996E-3</v>
      </c>
      <c r="K25" s="336">
        <f>K34</f>
        <v>9.188E-3</v>
      </c>
      <c r="L25" s="336">
        <v>8.5000000000000006E-3</v>
      </c>
      <c r="M25" s="336">
        <f>O34</f>
        <v>7.9249999999999998E-3</v>
      </c>
      <c r="N25" s="336">
        <f>Q34</f>
        <v>8.0000000000000002E-3</v>
      </c>
      <c r="O25" s="335">
        <v>0.83</v>
      </c>
      <c r="P25" s="336">
        <v>0.83</v>
      </c>
      <c r="Q25" s="335">
        <f>X34</f>
        <v>8.624999999999999E-3</v>
      </c>
      <c r="R25" s="335">
        <v>8.9999999999999993E-3</v>
      </c>
      <c r="S25" s="335"/>
      <c r="T25" s="335">
        <f>Z34</f>
        <v>8.7250000000000001E-3</v>
      </c>
      <c r="U25" s="335">
        <f>AB34</f>
        <v>8.8007222222222219E-3</v>
      </c>
      <c r="V25" s="335">
        <f>AB34</f>
        <v>8.8007222222222219E-3</v>
      </c>
      <c r="W25" s="335">
        <f>AD34</f>
        <v>9.1714444444444439E-3</v>
      </c>
      <c r="X25" s="103"/>
      <c r="Y25" s="107"/>
      <c r="Z25" s="107"/>
      <c r="AA25" s="107"/>
      <c r="AB25" s="111"/>
      <c r="AC25" s="112"/>
      <c r="AD25" s="112"/>
      <c r="AE25" s="112"/>
      <c r="AF25" s="112"/>
      <c r="AG25" s="111"/>
      <c r="AH25" s="101"/>
      <c r="AI25" s="96"/>
      <c r="AJ25" s="96"/>
      <c r="AK25" s="96"/>
      <c r="AL25" s="96"/>
      <c r="AM25" s="102"/>
      <c r="AN25" s="103"/>
      <c r="AO25" s="107"/>
      <c r="AP25" s="107"/>
      <c r="AQ25" s="107"/>
      <c r="AR25" s="111"/>
      <c r="AS25" s="112"/>
      <c r="AT25" s="112"/>
      <c r="AU25" s="112"/>
      <c r="AV25" s="112"/>
      <c r="AW25" s="111"/>
      <c r="AX25" s="101"/>
      <c r="AY25" s="96"/>
      <c r="AZ25" s="96"/>
      <c r="BA25" s="96"/>
      <c r="BB25" s="96"/>
      <c r="BC25" s="102"/>
      <c r="BD25" s="103"/>
      <c r="BE25" s="107"/>
      <c r="BF25" s="107"/>
      <c r="BG25" s="107"/>
      <c r="BH25" s="111"/>
      <c r="BI25" s="112"/>
      <c r="BJ25" s="112"/>
      <c r="BK25" s="112"/>
      <c r="BL25" s="112"/>
      <c r="BM25" s="111"/>
      <c r="BN25" s="101"/>
      <c r="BO25" s="96"/>
      <c r="BP25" s="96"/>
      <c r="BQ25" s="96"/>
      <c r="BR25" s="96"/>
      <c r="BS25" s="102"/>
      <c r="BT25" s="103"/>
      <c r="BU25" s="107"/>
      <c r="BV25" s="107"/>
      <c r="BW25" s="107"/>
      <c r="BX25" s="111"/>
      <c r="BY25" s="112"/>
      <c r="BZ25" s="112"/>
      <c r="CA25" s="112"/>
      <c r="CB25" s="112"/>
      <c r="CC25" s="111"/>
      <c r="CD25" s="101"/>
      <c r="CE25" s="96"/>
      <c r="CF25" s="96"/>
      <c r="CG25" s="96"/>
      <c r="CH25" s="96"/>
      <c r="CI25" s="102"/>
      <c r="CJ25" s="103"/>
      <c r="CK25" s="107"/>
      <c r="CL25" s="107"/>
      <c r="CM25" s="107"/>
      <c r="CN25" s="111"/>
      <c r="CO25" s="112"/>
      <c r="CP25" s="112"/>
      <c r="CQ25" s="112"/>
      <c r="CR25" s="112"/>
      <c r="CS25" s="111"/>
      <c r="CT25" s="101"/>
      <c r="CU25" s="96"/>
      <c r="CV25" s="96"/>
      <c r="CW25" s="96"/>
      <c r="CX25" s="96"/>
      <c r="CY25" s="102"/>
      <c r="CZ25" s="103"/>
      <c r="DA25" s="107"/>
      <c r="DB25" s="107"/>
      <c r="DC25" s="107"/>
      <c r="DD25" s="111"/>
      <c r="DE25" s="112"/>
      <c r="DF25" s="112"/>
      <c r="DG25" s="112"/>
      <c r="DH25" s="112"/>
      <c r="DI25" s="111"/>
      <c r="DJ25" s="101"/>
      <c r="DK25" s="96"/>
      <c r="DL25" s="96"/>
      <c r="DM25" s="96"/>
      <c r="DN25" s="96"/>
      <c r="DO25" s="102"/>
      <c r="DP25" s="103"/>
      <c r="DQ25" s="107"/>
      <c r="DR25" s="107"/>
      <c r="DS25" s="107"/>
      <c r="DT25" s="111"/>
      <c r="DU25" s="112"/>
      <c r="DV25" s="112"/>
      <c r="DW25" s="112"/>
      <c r="DX25" s="112"/>
      <c r="DY25" s="111"/>
      <c r="DZ25" s="101"/>
      <c r="EA25" s="96"/>
      <c r="EB25" s="96"/>
      <c r="EC25" s="96"/>
      <c r="ED25" s="96"/>
      <c r="EE25" s="102"/>
      <c r="EF25" s="103"/>
      <c r="EG25" s="107"/>
      <c r="EH25" s="107"/>
      <c r="EI25" s="107"/>
      <c r="EJ25" s="111"/>
      <c r="EK25" s="112"/>
      <c r="EL25" s="112"/>
      <c r="EM25" s="112"/>
      <c r="EN25" s="112"/>
      <c r="EO25" s="111"/>
      <c r="EP25" s="101"/>
      <c r="EQ25" s="96"/>
      <c r="ER25" s="96"/>
      <c r="ES25" s="96"/>
      <c r="ET25" s="96"/>
      <c r="EU25" s="102"/>
      <c r="EV25" s="103"/>
      <c r="EW25" s="107"/>
      <c r="EX25" s="107"/>
      <c r="EY25" s="107"/>
      <c r="EZ25" s="111"/>
      <c r="FA25" s="112"/>
      <c r="FB25" s="112"/>
      <c r="FC25" s="112"/>
      <c r="FD25" s="112"/>
      <c r="FE25" s="111"/>
      <c r="FF25" s="101"/>
      <c r="FG25" s="96"/>
      <c r="FH25" s="96"/>
      <c r="FI25" s="96"/>
      <c r="FJ25" s="96"/>
      <c r="FK25" s="102"/>
      <c r="FL25" s="103"/>
      <c r="FM25" s="107"/>
      <c r="FN25" s="107"/>
      <c r="FO25" s="107"/>
      <c r="FP25" s="111"/>
      <c r="FQ25" s="112"/>
      <c r="FR25" s="112"/>
      <c r="FS25" s="112"/>
      <c r="FT25" s="112"/>
      <c r="FU25" s="111"/>
      <c r="FV25" s="101"/>
      <c r="FW25" s="96"/>
      <c r="FX25" s="96"/>
      <c r="FY25" s="96"/>
      <c r="FZ25" s="96"/>
      <c r="GA25" s="102"/>
      <c r="GB25" s="103"/>
      <c r="GC25" s="107"/>
      <c r="GD25" s="107"/>
      <c r="GE25" s="107"/>
      <c r="GF25" s="111"/>
      <c r="GG25" s="112"/>
      <c r="GH25" s="112"/>
      <c r="GI25" s="112"/>
      <c r="GJ25" s="112"/>
      <c r="GK25" s="111"/>
      <c r="GL25" s="101"/>
      <c r="GM25" s="96"/>
      <c r="GN25" s="96"/>
      <c r="GO25" s="96"/>
      <c r="GP25" s="96"/>
      <c r="GQ25" s="102"/>
      <c r="GR25" s="103"/>
      <c r="GS25" s="107"/>
      <c r="GT25" s="107"/>
      <c r="GU25" s="107"/>
      <c r="GV25" s="111"/>
      <c r="GW25" s="112"/>
      <c r="GX25" s="112"/>
      <c r="GY25" s="112"/>
      <c r="GZ25" s="112"/>
      <c r="HA25" s="111"/>
      <c r="HB25" s="101"/>
      <c r="HC25" s="96"/>
      <c r="HD25" s="96"/>
      <c r="HE25" s="96"/>
      <c r="HF25" s="96"/>
      <c r="HG25" s="102"/>
      <c r="HH25" s="103"/>
      <c r="HI25" s="107"/>
      <c r="HJ25" s="107"/>
      <c r="HK25" s="107"/>
      <c r="HL25" s="111"/>
      <c r="HM25" s="112"/>
      <c r="HN25" s="112"/>
      <c r="HO25" s="112"/>
      <c r="HP25" s="112"/>
      <c r="HQ25" s="111"/>
      <c r="HR25" s="101"/>
      <c r="HS25" s="96"/>
      <c r="HT25" s="96"/>
      <c r="HU25" s="96"/>
      <c r="HV25" s="96"/>
      <c r="HW25" s="102"/>
      <c r="HX25" s="103"/>
      <c r="HY25" s="107"/>
      <c r="HZ25" s="107"/>
      <c r="IA25" s="107"/>
      <c r="IB25" s="111"/>
      <c r="IC25" s="112"/>
      <c r="ID25" s="112"/>
      <c r="IE25" s="112"/>
      <c r="IF25" s="112"/>
      <c r="IG25" s="111"/>
      <c r="IH25" s="101"/>
      <c r="II25" s="96"/>
      <c r="IJ25" s="96"/>
      <c r="IK25" s="96"/>
      <c r="IL25" s="96"/>
      <c r="IM25" s="102"/>
      <c r="IN25" s="103"/>
      <c r="IO25" s="107"/>
      <c r="IP25" s="107"/>
      <c r="IQ25" s="107"/>
      <c r="IR25" s="111"/>
      <c r="IS25" s="112"/>
      <c r="IT25" s="112"/>
      <c r="IU25" s="112"/>
      <c r="IV25" s="112"/>
      <c r="IW25" s="111"/>
    </row>
    <row r="26" spans="1:257" s="82" customFormat="1" ht="54" hidden="1" customHeight="1" x14ac:dyDescent="0.2">
      <c r="A26" s="56"/>
      <c r="B26" s="95"/>
      <c r="C26" s="95"/>
      <c r="D26" s="95"/>
      <c r="E26" s="95"/>
      <c r="F26" s="2485" t="s">
        <v>299</v>
      </c>
      <c r="G26" s="2486"/>
      <c r="H26" s="337">
        <f>H23-(H24*H25)</f>
        <v>2.4523999999999997E-2</v>
      </c>
      <c r="I26" s="337">
        <f>I23-(I24*I25)</f>
        <v>2.5903999999999996E-2</v>
      </c>
      <c r="J26" s="337">
        <f>J23-(J24*J25)</f>
        <v>2.6147916666666667E-2</v>
      </c>
      <c r="K26" s="338">
        <f>K23-(K24*K25)</f>
        <v>2.1558065599999999E-2</v>
      </c>
      <c r="L26" s="337">
        <v>2.3E-2</v>
      </c>
      <c r="M26" s="338">
        <f>M23-(M24*M25)</f>
        <v>2.3719437499999999E-2</v>
      </c>
      <c r="N26" s="337">
        <f>N23-(N24*N25)</f>
        <v>2.3599999999999999E-2</v>
      </c>
      <c r="O26" s="337">
        <v>2.4E-2</v>
      </c>
      <c r="P26" s="337">
        <v>2.3E-2</v>
      </c>
      <c r="Q26" s="337">
        <f>Q23-(Q24*Q25)</f>
        <v>2.2560937499999999E-2</v>
      </c>
      <c r="R26" s="337">
        <v>2.1999999999999999E-2</v>
      </c>
      <c r="S26" s="337"/>
      <c r="T26" s="337">
        <v>2.1999999999999999E-2</v>
      </c>
      <c r="U26" s="337">
        <v>0.03</v>
      </c>
      <c r="V26" s="337">
        <f>V23-(V24*V25)</f>
        <v>0.03</v>
      </c>
      <c r="W26" s="337">
        <f>W23-(W24*W25)</f>
        <v>0.03</v>
      </c>
      <c r="X26" s="103"/>
      <c r="Y26" s="107"/>
      <c r="Z26" s="107"/>
      <c r="AA26" s="107"/>
      <c r="AB26" s="105"/>
      <c r="AC26" s="91"/>
      <c r="AD26" s="91"/>
      <c r="AE26" s="91"/>
      <c r="AF26" s="91"/>
      <c r="AG26" s="91"/>
      <c r="AH26" s="101"/>
      <c r="AI26" s="96"/>
      <c r="AJ26" s="96"/>
      <c r="AK26" s="96"/>
      <c r="AL26" s="96"/>
      <c r="AM26" s="102"/>
      <c r="AN26" s="103"/>
      <c r="AO26" s="107"/>
      <c r="AP26" s="107"/>
      <c r="AQ26" s="107"/>
      <c r="AR26" s="105"/>
      <c r="AS26" s="91"/>
      <c r="AT26" s="91"/>
      <c r="AU26" s="91"/>
      <c r="AV26" s="91"/>
      <c r="AW26" s="91"/>
      <c r="AX26" s="101"/>
      <c r="AY26" s="96"/>
      <c r="AZ26" s="96"/>
      <c r="BA26" s="96"/>
      <c r="BB26" s="96"/>
      <c r="BC26" s="102"/>
      <c r="BD26" s="103"/>
      <c r="BE26" s="107"/>
      <c r="BF26" s="107"/>
      <c r="BG26" s="107"/>
      <c r="BH26" s="105"/>
      <c r="BI26" s="91"/>
      <c r="BJ26" s="91"/>
      <c r="BK26" s="91"/>
      <c r="BL26" s="91"/>
      <c r="BM26" s="91"/>
      <c r="BN26" s="101"/>
      <c r="BO26" s="96"/>
      <c r="BP26" s="96"/>
      <c r="BQ26" s="96"/>
      <c r="BR26" s="96"/>
      <c r="BS26" s="102"/>
      <c r="BT26" s="103"/>
      <c r="BU26" s="107"/>
      <c r="BV26" s="107"/>
      <c r="BW26" s="107"/>
      <c r="BX26" s="105"/>
      <c r="BY26" s="91"/>
      <c r="BZ26" s="91"/>
      <c r="CA26" s="91"/>
      <c r="CB26" s="91"/>
      <c r="CC26" s="91"/>
      <c r="CD26" s="101"/>
      <c r="CE26" s="96"/>
      <c r="CF26" s="96"/>
      <c r="CG26" s="96"/>
      <c r="CH26" s="96"/>
      <c r="CI26" s="102"/>
      <c r="CJ26" s="103"/>
      <c r="CK26" s="107"/>
      <c r="CL26" s="107"/>
      <c r="CM26" s="107"/>
      <c r="CN26" s="105"/>
      <c r="CO26" s="91"/>
      <c r="CP26" s="91"/>
      <c r="CQ26" s="91"/>
      <c r="CR26" s="91"/>
      <c r="CS26" s="91"/>
      <c r="CT26" s="101"/>
      <c r="CU26" s="96"/>
      <c r="CV26" s="96"/>
      <c r="CW26" s="96"/>
      <c r="CX26" s="96"/>
      <c r="CY26" s="102"/>
      <c r="CZ26" s="103"/>
      <c r="DA26" s="107"/>
      <c r="DB26" s="107"/>
      <c r="DC26" s="107"/>
      <c r="DD26" s="105"/>
      <c r="DE26" s="91"/>
      <c r="DF26" s="91"/>
      <c r="DG26" s="91"/>
      <c r="DH26" s="91"/>
      <c r="DI26" s="91"/>
      <c r="DJ26" s="101"/>
      <c r="DK26" s="96"/>
      <c r="DL26" s="96"/>
      <c r="DM26" s="96"/>
      <c r="DN26" s="96"/>
      <c r="DO26" s="102"/>
      <c r="DP26" s="103"/>
      <c r="DQ26" s="107"/>
      <c r="DR26" s="107"/>
      <c r="DS26" s="107"/>
      <c r="DT26" s="105"/>
      <c r="DU26" s="91"/>
      <c r="DV26" s="91"/>
      <c r="DW26" s="91"/>
      <c r="DX26" s="91"/>
      <c r="DY26" s="91"/>
      <c r="DZ26" s="101"/>
      <c r="EA26" s="96"/>
      <c r="EB26" s="96"/>
      <c r="EC26" s="96"/>
      <c r="ED26" s="96"/>
      <c r="EE26" s="102"/>
      <c r="EF26" s="103"/>
      <c r="EG26" s="107"/>
      <c r="EH26" s="107"/>
      <c r="EI26" s="107"/>
      <c r="EJ26" s="105"/>
      <c r="EK26" s="91"/>
      <c r="EL26" s="91"/>
      <c r="EM26" s="91"/>
      <c r="EN26" s="91"/>
      <c r="EO26" s="91"/>
      <c r="EP26" s="101"/>
      <c r="EQ26" s="96"/>
      <c r="ER26" s="96"/>
      <c r="ES26" s="96"/>
      <c r="ET26" s="96"/>
      <c r="EU26" s="102"/>
      <c r="EV26" s="103"/>
      <c r="EW26" s="107"/>
      <c r="EX26" s="107"/>
      <c r="EY26" s="107"/>
      <c r="EZ26" s="105"/>
      <c r="FA26" s="91"/>
      <c r="FB26" s="91"/>
      <c r="FC26" s="91"/>
      <c r="FD26" s="91"/>
      <c r="FE26" s="91"/>
      <c r="FF26" s="101"/>
      <c r="FG26" s="96"/>
      <c r="FH26" s="96"/>
      <c r="FI26" s="96"/>
      <c r="FJ26" s="96"/>
      <c r="FK26" s="102"/>
      <c r="FL26" s="103"/>
      <c r="FM26" s="107"/>
      <c r="FN26" s="107"/>
      <c r="FO26" s="107"/>
      <c r="FP26" s="105"/>
      <c r="FQ26" s="91"/>
      <c r="FR26" s="91"/>
      <c r="FS26" s="91"/>
      <c r="FT26" s="91"/>
      <c r="FU26" s="91"/>
      <c r="FV26" s="101"/>
      <c r="FW26" s="96"/>
      <c r="FX26" s="96"/>
      <c r="FY26" s="96"/>
      <c r="FZ26" s="96"/>
      <c r="GA26" s="102"/>
      <c r="GB26" s="103"/>
      <c r="GC26" s="107"/>
      <c r="GD26" s="107"/>
      <c r="GE26" s="107"/>
      <c r="GF26" s="105"/>
      <c r="GG26" s="91"/>
      <c r="GH26" s="91"/>
      <c r="GI26" s="91"/>
      <c r="GJ26" s="91"/>
      <c r="GK26" s="91"/>
      <c r="GL26" s="101"/>
      <c r="GM26" s="96"/>
      <c r="GN26" s="96"/>
      <c r="GO26" s="96"/>
      <c r="GP26" s="96"/>
      <c r="GQ26" s="102"/>
      <c r="GR26" s="103"/>
      <c r="GS26" s="107"/>
      <c r="GT26" s="107"/>
      <c r="GU26" s="107"/>
      <c r="GV26" s="105"/>
      <c r="GW26" s="91"/>
      <c r="GX26" s="91"/>
      <c r="GY26" s="91"/>
      <c r="GZ26" s="91"/>
      <c r="HA26" s="91"/>
      <c r="HB26" s="101"/>
      <c r="HC26" s="96"/>
      <c r="HD26" s="96"/>
      <c r="HE26" s="96"/>
      <c r="HF26" s="96"/>
      <c r="HG26" s="102"/>
      <c r="HH26" s="103"/>
      <c r="HI26" s="107"/>
      <c r="HJ26" s="107"/>
      <c r="HK26" s="107"/>
      <c r="HL26" s="105"/>
      <c r="HM26" s="91"/>
      <c r="HN26" s="91"/>
      <c r="HO26" s="91"/>
      <c r="HP26" s="91"/>
      <c r="HQ26" s="91"/>
      <c r="HR26" s="101"/>
      <c r="HS26" s="96"/>
      <c r="HT26" s="96"/>
      <c r="HU26" s="96"/>
      <c r="HV26" s="96"/>
      <c r="HW26" s="102"/>
      <c r="HX26" s="103"/>
      <c r="HY26" s="107"/>
      <c r="HZ26" s="107"/>
      <c r="IA26" s="107"/>
      <c r="IB26" s="105"/>
      <c r="IC26" s="91"/>
      <c r="ID26" s="91"/>
      <c r="IE26" s="91"/>
      <c r="IF26" s="91"/>
      <c r="IG26" s="91"/>
      <c r="IH26" s="101"/>
      <c r="II26" s="96"/>
      <c r="IJ26" s="96"/>
      <c r="IK26" s="96"/>
      <c r="IL26" s="96"/>
      <c r="IM26" s="102"/>
      <c r="IN26" s="103"/>
      <c r="IO26" s="107"/>
      <c r="IP26" s="107"/>
      <c r="IQ26" s="107"/>
      <c r="IR26" s="105"/>
      <c r="IS26" s="91"/>
      <c r="IT26" s="91"/>
      <c r="IU26" s="91"/>
      <c r="IV26" s="91"/>
      <c r="IW26" s="91"/>
    </row>
    <row r="27" spans="1:257" s="82" customFormat="1" ht="15.75" hidden="1" customHeight="1" x14ac:dyDescent="0.25">
      <c r="A27" s="56"/>
      <c r="B27" s="95"/>
      <c r="C27" s="95"/>
      <c r="D27" s="95"/>
      <c r="E27" s="95"/>
      <c r="F27" s="2487"/>
      <c r="G27" s="2487"/>
      <c r="H27" s="339"/>
      <c r="I27" s="339"/>
      <c r="J27" s="340"/>
      <c r="K27" s="341"/>
      <c r="L27" s="341"/>
      <c r="M27" s="2488"/>
      <c r="N27" s="2489"/>
      <c r="O27" s="99"/>
      <c r="P27" s="100"/>
      <c r="Q27" s="101"/>
      <c r="R27" s="96"/>
      <c r="S27" s="96"/>
      <c r="T27" s="96"/>
      <c r="U27" s="96"/>
      <c r="V27" s="96"/>
      <c r="W27" s="102"/>
      <c r="X27" s="103"/>
      <c r="Y27" s="107"/>
      <c r="Z27" s="113"/>
      <c r="AA27" s="113"/>
      <c r="AB27" s="105"/>
      <c r="AC27" s="99"/>
      <c r="AD27" s="99"/>
      <c r="AE27" s="99"/>
      <c r="AF27" s="99"/>
      <c r="AG27" s="100"/>
      <c r="AH27" s="101"/>
      <c r="AI27" s="96"/>
      <c r="AJ27" s="96"/>
      <c r="AK27" s="96"/>
      <c r="AL27" s="96"/>
      <c r="AM27" s="102"/>
      <c r="AN27" s="103"/>
      <c r="AO27" s="107"/>
      <c r="AP27" s="113"/>
      <c r="AQ27" s="113"/>
      <c r="AR27" s="105"/>
      <c r="AS27" s="99"/>
      <c r="AT27" s="99"/>
      <c r="AU27" s="99"/>
      <c r="AV27" s="99"/>
      <c r="AW27" s="100"/>
      <c r="AX27" s="101"/>
      <c r="AY27" s="96"/>
      <c r="AZ27" s="96"/>
      <c r="BA27" s="96"/>
      <c r="BB27" s="96"/>
      <c r="BC27" s="102"/>
      <c r="BD27" s="103"/>
      <c r="BE27" s="107"/>
      <c r="BF27" s="113"/>
      <c r="BG27" s="113"/>
      <c r="BH27" s="105"/>
      <c r="BI27" s="99"/>
      <c r="BJ27" s="99"/>
      <c r="BK27" s="99"/>
      <c r="BL27" s="99"/>
      <c r="BM27" s="100"/>
      <c r="BN27" s="101"/>
      <c r="BO27" s="96"/>
      <c r="BP27" s="96"/>
      <c r="BQ27" s="96"/>
      <c r="BR27" s="96"/>
      <c r="BS27" s="102"/>
      <c r="BT27" s="103"/>
      <c r="BU27" s="107"/>
      <c r="BV27" s="113"/>
      <c r="BW27" s="113"/>
      <c r="BX27" s="105"/>
      <c r="BY27" s="99"/>
      <c r="BZ27" s="99"/>
      <c r="CA27" s="99"/>
      <c r="CB27" s="99"/>
      <c r="CC27" s="100"/>
      <c r="CD27" s="101"/>
      <c r="CE27" s="96"/>
      <c r="CF27" s="96"/>
      <c r="CG27" s="96"/>
      <c r="CH27" s="96"/>
      <c r="CI27" s="102"/>
      <c r="CJ27" s="103"/>
      <c r="CK27" s="107"/>
      <c r="CL27" s="113"/>
      <c r="CM27" s="113"/>
      <c r="CN27" s="105"/>
      <c r="CO27" s="99"/>
      <c r="CP27" s="99"/>
      <c r="CQ27" s="99"/>
      <c r="CR27" s="99"/>
      <c r="CS27" s="100"/>
      <c r="CT27" s="101"/>
      <c r="CU27" s="96"/>
      <c r="CV27" s="96"/>
      <c r="CW27" s="96"/>
      <c r="CX27" s="96"/>
      <c r="CY27" s="102"/>
      <c r="CZ27" s="103"/>
      <c r="DA27" s="107"/>
      <c r="DB27" s="113"/>
      <c r="DC27" s="113"/>
      <c r="DD27" s="105"/>
      <c r="DE27" s="99"/>
      <c r="DF27" s="99"/>
      <c r="DG27" s="99"/>
      <c r="DH27" s="99"/>
      <c r="DI27" s="100"/>
      <c r="DJ27" s="101"/>
      <c r="DK27" s="96"/>
      <c r="DL27" s="96"/>
      <c r="DM27" s="96"/>
      <c r="DN27" s="96"/>
      <c r="DO27" s="102"/>
      <c r="DP27" s="103"/>
      <c r="DQ27" s="107"/>
      <c r="DR27" s="113"/>
      <c r="DS27" s="113"/>
      <c r="DT27" s="105"/>
      <c r="DU27" s="99"/>
      <c r="DV27" s="99"/>
      <c r="DW27" s="99"/>
      <c r="DX27" s="99"/>
      <c r="DY27" s="100"/>
      <c r="DZ27" s="101"/>
      <c r="EA27" s="96"/>
      <c r="EB27" s="96"/>
      <c r="EC27" s="96"/>
      <c r="ED27" s="96"/>
      <c r="EE27" s="102"/>
      <c r="EF27" s="103"/>
      <c r="EG27" s="107"/>
      <c r="EH27" s="113"/>
      <c r="EI27" s="113"/>
      <c r="EJ27" s="105"/>
      <c r="EK27" s="99"/>
      <c r="EL27" s="99"/>
      <c r="EM27" s="99"/>
      <c r="EN27" s="99"/>
      <c r="EO27" s="100"/>
      <c r="EP27" s="101"/>
      <c r="EQ27" s="96"/>
      <c r="ER27" s="96"/>
      <c r="ES27" s="96"/>
      <c r="ET27" s="96"/>
      <c r="EU27" s="102"/>
      <c r="EV27" s="103"/>
      <c r="EW27" s="107"/>
      <c r="EX27" s="113"/>
      <c r="EY27" s="113"/>
      <c r="EZ27" s="105"/>
      <c r="FA27" s="99"/>
      <c r="FB27" s="99"/>
      <c r="FC27" s="99"/>
      <c r="FD27" s="99"/>
      <c r="FE27" s="100"/>
      <c r="FF27" s="101"/>
      <c r="FG27" s="96"/>
      <c r="FH27" s="96"/>
      <c r="FI27" s="96"/>
      <c r="FJ27" s="96"/>
      <c r="FK27" s="102"/>
      <c r="FL27" s="103"/>
      <c r="FM27" s="107"/>
      <c r="FN27" s="113"/>
      <c r="FO27" s="113"/>
      <c r="FP27" s="105"/>
      <c r="FQ27" s="99"/>
      <c r="FR27" s="99"/>
      <c r="FS27" s="99"/>
      <c r="FT27" s="99"/>
      <c r="FU27" s="100"/>
      <c r="FV27" s="101"/>
      <c r="FW27" s="96"/>
      <c r="FX27" s="96"/>
      <c r="FY27" s="96"/>
      <c r="FZ27" s="96"/>
      <c r="GA27" s="102"/>
      <c r="GB27" s="103"/>
      <c r="GC27" s="107"/>
      <c r="GD27" s="113"/>
      <c r="GE27" s="113"/>
      <c r="GF27" s="105"/>
      <c r="GG27" s="99"/>
      <c r="GH27" s="99"/>
      <c r="GI27" s="99"/>
      <c r="GJ27" s="99"/>
      <c r="GK27" s="100"/>
      <c r="GL27" s="101"/>
      <c r="GM27" s="96"/>
      <c r="GN27" s="96"/>
      <c r="GO27" s="96"/>
      <c r="GP27" s="96"/>
      <c r="GQ27" s="102"/>
      <c r="GR27" s="103"/>
      <c r="GS27" s="107"/>
      <c r="GT27" s="113"/>
      <c r="GU27" s="113"/>
      <c r="GV27" s="105"/>
      <c r="GW27" s="99"/>
      <c r="GX27" s="99"/>
      <c r="GY27" s="99"/>
      <c r="GZ27" s="99"/>
      <c r="HA27" s="100"/>
      <c r="HB27" s="101"/>
      <c r="HC27" s="96"/>
      <c r="HD27" s="96"/>
      <c r="HE27" s="96"/>
      <c r="HF27" s="96"/>
      <c r="HG27" s="102"/>
      <c r="HH27" s="103"/>
      <c r="HI27" s="107"/>
      <c r="HJ27" s="113"/>
      <c r="HK27" s="113"/>
      <c r="HL27" s="105"/>
      <c r="HM27" s="99"/>
      <c r="HN27" s="99"/>
      <c r="HO27" s="99"/>
      <c r="HP27" s="99"/>
      <c r="HQ27" s="100"/>
      <c r="HR27" s="101"/>
      <c r="HS27" s="96"/>
      <c r="HT27" s="96"/>
      <c r="HU27" s="96"/>
      <c r="HV27" s="96"/>
      <c r="HW27" s="102"/>
      <c r="HX27" s="103"/>
      <c r="HY27" s="107"/>
      <c r="HZ27" s="113"/>
      <c r="IA27" s="113"/>
      <c r="IB27" s="105"/>
      <c r="IC27" s="99"/>
      <c r="ID27" s="99"/>
      <c r="IE27" s="99"/>
      <c r="IF27" s="99"/>
      <c r="IG27" s="100"/>
      <c r="IH27" s="101"/>
      <c r="II27" s="96"/>
      <c r="IJ27" s="96"/>
      <c r="IK27" s="96"/>
      <c r="IL27" s="96"/>
      <c r="IM27" s="102"/>
      <c r="IN27" s="103"/>
      <c r="IO27" s="107"/>
      <c r="IP27" s="113"/>
      <c r="IQ27" s="113"/>
      <c r="IR27" s="105"/>
      <c r="IS27" s="99"/>
      <c r="IT27" s="99"/>
      <c r="IU27" s="99"/>
      <c r="IV27" s="99"/>
      <c r="IW27" s="100"/>
    </row>
    <row r="28" spans="1:257" s="82" customFormat="1" ht="15.75" x14ac:dyDescent="0.25">
      <c r="A28" s="56"/>
      <c r="B28" s="95"/>
      <c r="C28" s="95"/>
      <c r="D28" s="95"/>
      <c r="E28" s="95"/>
      <c r="F28" s="48"/>
      <c r="G28" s="48"/>
      <c r="H28" s="48"/>
      <c r="I28" s="114"/>
      <c r="J28" s="114"/>
      <c r="K28" s="115"/>
      <c r="L28" s="78"/>
      <c r="M28" s="78"/>
      <c r="N28" s="78"/>
      <c r="O28" s="78"/>
      <c r="P28" s="106"/>
      <c r="Q28" s="101"/>
      <c r="R28" s="96"/>
      <c r="S28" s="96"/>
      <c r="T28" s="96"/>
      <c r="U28" s="96"/>
      <c r="V28" s="96"/>
      <c r="X28" s="116"/>
      <c r="Y28" s="117"/>
      <c r="Z28" s="117"/>
      <c r="AA28" s="117"/>
      <c r="AB28" s="105"/>
      <c r="AC28" s="78"/>
      <c r="AD28" s="78"/>
      <c r="AE28" s="78"/>
      <c r="AF28" s="78"/>
      <c r="AG28" s="106"/>
      <c r="AH28" s="101"/>
      <c r="AI28" s="96"/>
      <c r="AJ28" s="96"/>
      <c r="AK28" s="96"/>
      <c r="AL28" s="96"/>
      <c r="AN28" s="116"/>
      <c r="AO28" s="117"/>
      <c r="AP28" s="117"/>
      <c r="AQ28" s="117"/>
      <c r="AR28" s="105"/>
      <c r="AS28" s="78"/>
      <c r="AT28" s="78"/>
      <c r="AU28" s="78"/>
      <c r="AV28" s="78"/>
      <c r="AW28" s="106"/>
      <c r="AX28" s="101"/>
      <c r="AY28" s="96"/>
      <c r="AZ28" s="96"/>
      <c r="BA28" s="96"/>
      <c r="BB28" s="96"/>
      <c r="BD28" s="116"/>
      <c r="BE28" s="117"/>
      <c r="BF28" s="117"/>
      <c r="BG28" s="117"/>
      <c r="BH28" s="105"/>
      <c r="BI28" s="78"/>
      <c r="BJ28" s="78"/>
      <c r="BK28" s="78"/>
      <c r="BL28" s="78"/>
      <c r="BM28" s="106"/>
      <c r="BN28" s="101"/>
      <c r="BO28" s="96"/>
      <c r="BP28" s="96"/>
      <c r="BQ28" s="96"/>
      <c r="BR28" s="96"/>
      <c r="BT28" s="116"/>
      <c r="BU28" s="117"/>
      <c r="BV28" s="117"/>
      <c r="BW28" s="117"/>
      <c r="BX28" s="105"/>
      <c r="BY28" s="78"/>
      <c r="BZ28" s="78"/>
      <c r="CA28" s="78"/>
      <c r="CB28" s="78"/>
      <c r="CC28" s="106"/>
      <c r="CD28" s="101"/>
      <c r="CE28" s="96"/>
      <c r="CF28" s="96"/>
      <c r="CG28" s="96"/>
      <c r="CH28" s="96"/>
      <c r="CJ28" s="116"/>
      <c r="CK28" s="117"/>
      <c r="CL28" s="117"/>
      <c r="CM28" s="117"/>
      <c r="CN28" s="105"/>
      <c r="CO28" s="78"/>
      <c r="CP28" s="78"/>
      <c r="CQ28" s="78"/>
      <c r="CR28" s="78"/>
      <c r="CS28" s="106"/>
      <c r="CT28" s="101"/>
      <c r="CU28" s="96"/>
      <c r="CV28" s="96"/>
      <c r="CW28" s="96"/>
      <c r="CX28" s="96"/>
      <c r="CZ28" s="116"/>
      <c r="DA28" s="117"/>
      <c r="DB28" s="117"/>
      <c r="DC28" s="117"/>
      <c r="DD28" s="105"/>
      <c r="DE28" s="78"/>
      <c r="DF28" s="78"/>
      <c r="DG28" s="78"/>
      <c r="DH28" s="78"/>
      <c r="DI28" s="106"/>
      <c r="DJ28" s="101"/>
      <c r="DK28" s="96"/>
      <c r="DL28" s="96"/>
      <c r="DM28" s="96"/>
      <c r="DN28" s="96"/>
      <c r="DP28" s="116"/>
      <c r="DQ28" s="117"/>
      <c r="DR28" s="117"/>
      <c r="DS28" s="117"/>
      <c r="DT28" s="105"/>
      <c r="DU28" s="78"/>
      <c r="DV28" s="78"/>
      <c r="DW28" s="78"/>
      <c r="DX28" s="78"/>
      <c r="DY28" s="106"/>
      <c r="DZ28" s="101"/>
      <c r="EA28" s="96"/>
      <c r="EB28" s="96"/>
      <c r="EC28" s="96"/>
      <c r="ED28" s="96"/>
      <c r="EF28" s="116"/>
      <c r="EG28" s="117"/>
      <c r="EH28" s="117"/>
      <c r="EI28" s="117"/>
      <c r="EJ28" s="105"/>
      <c r="EK28" s="78"/>
      <c r="EL28" s="78"/>
      <c r="EM28" s="78"/>
      <c r="EN28" s="78"/>
      <c r="EO28" s="106"/>
      <c r="EP28" s="101"/>
      <c r="EQ28" s="96"/>
      <c r="ER28" s="96"/>
      <c r="ES28" s="96"/>
      <c r="ET28" s="96"/>
      <c r="EV28" s="116"/>
      <c r="EW28" s="117"/>
      <c r="EX28" s="117"/>
      <c r="EY28" s="117"/>
      <c r="EZ28" s="105"/>
      <c r="FA28" s="78"/>
      <c r="FB28" s="78"/>
      <c r="FC28" s="78"/>
      <c r="FD28" s="78"/>
      <c r="FE28" s="106"/>
      <c r="FF28" s="101"/>
      <c r="FG28" s="96"/>
      <c r="FH28" s="96"/>
      <c r="FI28" s="96"/>
      <c r="FJ28" s="96"/>
      <c r="FL28" s="116"/>
      <c r="FM28" s="117"/>
      <c r="FN28" s="117"/>
      <c r="FO28" s="117"/>
      <c r="FP28" s="105"/>
      <c r="FQ28" s="78"/>
      <c r="FR28" s="78"/>
      <c r="FS28" s="78"/>
      <c r="FT28" s="78"/>
      <c r="FU28" s="106"/>
      <c r="FV28" s="101"/>
      <c r="FW28" s="96"/>
      <c r="FX28" s="96"/>
      <c r="FY28" s="96"/>
      <c r="FZ28" s="96"/>
      <c r="GB28" s="116"/>
      <c r="GC28" s="117"/>
      <c r="GD28" s="117"/>
      <c r="GE28" s="117"/>
      <c r="GF28" s="105"/>
      <c r="GG28" s="78"/>
      <c r="GH28" s="78"/>
      <c r="GI28" s="78"/>
      <c r="GJ28" s="78"/>
      <c r="GK28" s="106"/>
      <c r="GL28" s="101"/>
      <c r="GM28" s="96"/>
      <c r="GN28" s="96"/>
      <c r="GO28" s="96"/>
      <c r="GP28" s="96"/>
      <c r="GR28" s="116"/>
      <c r="GS28" s="117"/>
      <c r="GT28" s="117"/>
      <c r="GU28" s="117"/>
      <c r="GV28" s="105"/>
      <c r="GW28" s="78"/>
      <c r="GX28" s="78"/>
      <c r="GY28" s="78"/>
      <c r="GZ28" s="78"/>
      <c r="HA28" s="106"/>
      <c r="HB28" s="101"/>
      <c r="HC28" s="96"/>
      <c r="HD28" s="96"/>
      <c r="HE28" s="96"/>
      <c r="HF28" s="96"/>
      <c r="HH28" s="116"/>
      <c r="HI28" s="117"/>
      <c r="HJ28" s="117"/>
      <c r="HK28" s="117"/>
      <c r="HL28" s="105"/>
      <c r="HM28" s="78"/>
      <c r="HN28" s="78"/>
      <c r="HO28" s="78"/>
      <c r="HP28" s="78"/>
      <c r="HQ28" s="106"/>
      <c r="HR28" s="101"/>
      <c r="HS28" s="96"/>
      <c r="HT28" s="96"/>
      <c r="HU28" s="96"/>
      <c r="HV28" s="96"/>
      <c r="HX28" s="116"/>
      <c r="HY28" s="117"/>
      <c r="HZ28" s="117"/>
      <c r="IA28" s="117"/>
      <c r="IB28" s="105"/>
      <c r="IC28" s="78"/>
      <c r="ID28" s="78"/>
      <c r="IE28" s="78"/>
      <c r="IF28" s="78"/>
      <c r="IG28" s="106"/>
      <c r="IH28" s="101"/>
      <c r="II28" s="96"/>
      <c r="IJ28" s="96"/>
      <c r="IK28" s="96"/>
      <c r="IL28" s="96"/>
      <c r="IN28" s="116"/>
      <c r="IO28" s="117"/>
      <c r="IP28" s="117"/>
      <c r="IQ28" s="117"/>
      <c r="IR28" s="105"/>
      <c r="IS28" s="78"/>
      <c r="IT28" s="78"/>
      <c r="IU28" s="78"/>
      <c r="IV28" s="78"/>
      <c r="IW28" s="106"/>
    </row>
    <row r="29" spans="1:257" s="82" customFormat="1" ht="57" hidden="1" customHeight="1" x14ac:dyDescent="0.2">
      <c r="A29" s="342" t="s">
        <v>143</v>
      </c>
      <c r="B29" s="342" t="s">
        <v>144</v>
      </c>
      <c r="C29" s="342" t="s">
        <v>300</v>
      </c>
      <c r="D29" s="343" t="s">
        <v>301</v>
      </c>
      <c r="E29" s="343" t="s">
        <v>302</v>
      </c>
      <c r="F29" s="343" t="s">
        <v>303</v>
      </c>
      <c r="G29" s="343" t="s">
        <v>304</v>
      </c>
      <c r="H29" s="343" t="s">
        <v>305</v>
      </c>
      <c r="I29" s="343" t="s">
        <v>306</v>
      </c>
      <c r="J29" s="343" t="s">
        <v>307</v>
      </c>
      <c r="K29" s="342" t="s">
        <v>308</v>
      </c>
      <c r="L29" s="343" t="s">
        <v>309</v>
      </c>
      <c r="M29" s="342" t="s">
        <v>310</v>
      </c>
      <c r="N29" s="343" t="s">
        <v>311</v>
      </c>
      <c r="O29" s="342" t="s">
        <v>312</v>
      </c>
      <c r="P29" s="343" t="s">
        <v>313</v>
      </c>
      <c r="Q29" s="342" t="s">
        <v>314</v>
      </c>
      <c r="R29" s="343" t="s">
        <v>336</v>
      </c>
      <c r="S29" s="343"/>
      <c r="T29" s="342" t="s">
        <v>337</v>
      </c>
      <c r="U29" s="343" t="s">
        <v>338</v>
      </c>
      <c r="V29" s="342" t="s">
        <v>339</v>
      </c>
      <c r="W29" s="343" t="s">
        <v>403</v>
      </c>
      <c r="X29" s="342" t="s">
        <v>404</v>
      </c>
      <c r="Y29" s="343" t="s">
        <v>405</v>
      </c>
      <c r="Z29" s="342" t="s">
        <v>406</v>
      </c>
      <c r="AA29" s="343" t="s">
        <v>421</v>
      </c>
      <c r="AB29" s="342" t="s">
        <v>422</v>
      </c>
      <c r="AC29" s="343" t="s">
        <v>423</v>
      </c>
      <c r="AD29" s="342" t="s">
        <v>424</v>
      </c>
      <c r="AE29" s="109"/>
      <c r="AF29" s="109"/>
      <c r="AG29" s="110"/>
      <c r="AH29" s="101"/>
      <c r="AI29" s="96"/>
      <c r="AJ29" s="96"/>
      <c r="AK29" s="96"/>
      <c r="AL29" s="96"/>
      <c r="AQ29" s="110"/>
      <c r="AR29" s="118"/>
      <c r="AS29" s="109"/>
      <c r="AT29" s="109"/>
      <c r="AU29" s="109"/>
      <c r="AV29" s="109"/>
      <c r="AW29" s="110"/>
      <c r="AX29" s="101"/>
      <c r="AY29" s="96"/>
      <c r="AZ29" s="96"/>
      <c r="BA29" s="96"/>
      <c r="BB29" s="96"/>
      <c r="BG29" s="110"/>
      <c r="BH29" s="118"/>
      <c r="BI29" s="109"/>
      <c r="BJ29" s="109"/>
      <c r="BK29" s="109"/>
      <c r="BL29" s="109"/>
      <c r="BM29" s="110"/>
      <c r="BN29" s="101"/>
      <c r="BO29" s="96"/>
      <c r="BP29" s="96"/>
      <c r="BQ29" s="96"/>
      <c r="BR29" s="96"/>
      <c r="BW29" s="110"/>
      <c r="BX29" s="118"/>
      <c r="BY29" s="109"/>
      <c r="BZ29" s="109"/>
      <c r="CA29" s="109"/>
      <c r="CB29" s="109"/>
      <c r="CC29" s="110"/>
      <c r="CD29" s="101"/>
      <c r="CE29" s="96"/>
      <c r="CF29" s="96"/>
      <c r="CG29" s="96"/>
      <c r="CH29" s="96"/>
      <c r="CM29" s="110"/>
      <c r="CN29" s="118"/>
      <c r="CO29" s="109"/>
      <c r="CP29" s="109"/>
      <c r="CQ29" s="109"/>
      <c r="CR29" s="109"/>
      <c r="CS29" s="110"/>
      <c r="CT29" s="101"/>
      <c r="CU29" s="96"/>
      <c r="CV29" s="96"/>
      <c r="CW29" s="96"/>
      <c r="CX29" s="96"/>
      <c r="DC29" s="110"/>
      <c r="DD29" s="118"/>
      <c r="DE29" s="109"/>
      <c r="DF29" s="109"/>
      <c r="DG29" s="109"/>
      <c r="DH29" s="109"/>
      <c r="DI29" s="110"/>
      <c r="DJ29" s="101"/>
      <c r="DK29" s="96"/>
      <c r="DL29" s="96"/>
      <c r="DM29" s="96"/>
      <c r="DN29" s="96"/>
      <c r="DS29" s="110"/>
      <c r="DT29" s="118"/>
      <c r="DU29" s="109"/>
      <c r="DV29" s="109"/>
      <c r="DW29" s="109"/>
      <c r="DX29" s="109"/>
      <c r="DY29" s="110"/>
      <c r="DZ29" s="101"/>
      <c r="EA29" s="96"/>
      <c r="EB29" s="96"/>
      <c r="EC29" s="96"/>
      <c r="ED29" s="96"/>
      <c r="EI29" s="110"/>
      <c r="EJ29" s="118"/>
      <c r="EK29" s="109"/>
      <c r="EL29" s="109"/>
      <c r="EM29" s="109"/>
      <c r="EN29" s="109"/>
      <c r="EO29" s="110"/>
      <c r="EP29" s="101"/>
      <c r="EQ29" s="96"/>
      <c r="ER29" s="96"/>
      <c r="ES29" s="96"/>
      <c r="ET29" s="96"/>
      <c r="EY29" s="110"/>
      <c r="EZ29" s="118"/>
      <c r="FA29" s="109"/>
      <c r="FB29" s="109"/>
      <c r="FC29" s="109"/>
      <c r="FD29" s="109"/>
      <c r="FE29" s="110"/>
      <c r="FF29" s="101"/>
      <c r="FG29" s="96"/>
      <c r="FH29" s="96"/>
      <c r="FI29" s="96"/>
      <c r="FJ29" s="96"/>
      <c r="FO29" s="110"/>
      <c r="FP29" s="118"/>
      <c r="FQ29" s="109"/>
      <c r="FR29" s="109"/>
      <c r="FS29" s="109"/>
      <c r="FT29" s="109"/>
      <c r="FU29" s="110"/>
      <c r="FV29" s="101"/>
      <c r="FW29" s="96"/>
      <c r="FX29" s="96"/>
      <c r="FY29" s="96"/>
      <c r="FZ29" s="96"/>
      <c r="GE29" s="110"/>
      <c r="GF29" s="118"/>
      <c r="GG29" s="109"/>
      <c r="GH29" s="109"/>
      <c r="GI29" s="109"/>
      <c r="GJ29" s="109"/>
      <c r="GK29" s="110"/>
      <c r="GL29" s="101"/>
      <c r="GM29" s="96"/>
      <c r="GN29" s="96"/>
      <c r="GO29" s="96"/>
      <c r="GP29" s="96"/>
      <c r="GU29" s="110"/>
      <c r="GV29" s="118"/>
      <c r="GW29" s="109"/>
      <c r="GX29" s="109"/>
      <c r="GY29" s="109"/>
      <c r="GZ29" s="109"/>
      <c r="HA29" s="110"/>
      <c r="HB29" s="101"/>
      <c r="HC29" s="96"/>
      <c r="HD29" s="96"/>
      <c r="HE29" s="96"/>
      <c r="HF29" s="96"/>
      <c r="HK29" s="110"/>
      <c r="HL29" s="118"/>
      <c r="HM29" s="109"/>
      <c r="HN29" s="109"/>
      <c r="HO29" s="109"/>
      <c r="HP29" s="109"/>
      <c r="HQ29" s="110"/>
      <c r="HR29" s="101"/>
      <c r="HS29" s="96"/>
      <c r="HT29" s="96"/>
      <c r="HU29" s="96"/>
      <c r="HV29" s="96"/>
      <c r="IA29" s="110"/>
      <c r="IB29" s="118"/>
      <c r="IC29" s="109"/>
      <c r="ID29" s="109"/>
      <c r="IE29" s="109"/>
      <c r="IF29" s="109"/>
      <c r="IG29" s="110"/>
      <c r="IH29" s="101"/>
      <c r="II29" s="96"/>
      <c r="IJ29" s="96"/>
      <c r="IK29" s="96"/>
      <c r="IL29" s="96"/>
      <c r="IQ29" s="110"/>
      <c r="IR29" s="118"/>
      <c r="IS29" s="109"/>
      <c r="IT29" s="109"/>
      <c r="IU29" s="109"/>
      <c r="IV29" s="109"/>
      <c r="IW29" s="110"/>
    </row>
    <row r="30" spans="1:257" s="82" customFormat="1" ht="114" hidden="1" customHeight="1" x14ac:dyDescent="0.2">
      <c r="A30" s="344" t="s">
        <v>145</v>
      </c>
      <c r="B30" s="345" t="s">
        <v>315</v>
      </c>
      <c r="C30" s="346">
        <v>0.25</v>
      </c>
      <c r="D30" s="347">
        <v>0.68</v>
      </c>
      <c r="E30" s="348">
        <f>C30*D30</f>
        <v>0.17</v>
      </c>
      <c r="F30" s="347">
        <v>0.68</v>
      </c>
      <c r="G30" s="348">
        <f>C30*F30</f>
        <v>0.17</v>
      </c>
      <c r="H30" s="347"/>
      <c r="I30" s="348"/>
      <c r="J30" s="347">
        <v>0.88519999999999999</v>
      </c>
      <c r="K30" s="348">
        <f>$C$30*J30</f>
        <v>0.2213</v>
      </c>
      <c r="L30" s="347">
        <v>0.88519999999999999</v>
      </c>
      <c r="M30" s="348">
        <f>$C$30*L30</f>
        <v>0.2213</v>
      </c>
      <c r="N30" s="347">
        <v>0.96</v>
      </c>
      <c r="O30" s="348">
        <f>$C$30*N30</f>
        <v>0.24</v>
      </c>
      <c r="P30" s="347">
        <v>0.97</v>
      </c>
      <c r="Q30" s="348">
        <f>$C$30*P30</f>
        <v>0.24249999999999999</v>
      </c>
      <c r="R30" s="349">
        <v>0.9</v>
      </c>
      <c r="S30" s="349"/>
      <c r="T30" s="350">
        <f>$C$30*R30</f>
        <v>0.22500000000000001</v>
      </c>
      <c r="U30" s="349">
        <v>0.82</v>
      </c>
      <c r="V30" s="350">
        <f>$C$30*U30</f>
        <v>0.20499999999999999</v>
      </c>
      <c r="W30" s="351">
        <v>0.86</v>
      </c>
      <c r="X30" s="352">
        <f>$C$30*W30</f>
        <v>0.215</v>
      </c>
      <c r="Y30" s="351">
        <v>0.89</v>
      </c>
      <c r="Z30" s="352">
        <f>$C$30*Y30</f>
        <v>0.2225</v>
      </c>
      <c r="AA30" s="351">
        <f>'[3]Cumplimiento Objetivos '!E3</f>
        <v>0.90410000000000001</v>
      </c>
      <c r="AB30" s="352">
        <f>$C$30*AA30</f>
        <v>0.226025</v>
      </c>
      <c r="AC30" s="351">
        <f>'[3]Cumplimiento Objetivos '!F3</f>
        <v>0.9074333333333332</v>
      </c>
      <c r="AD30" s="352">
        <f>$C$30*AC30</f>
        <v>0.2268583333333333</v>
      </c>
      <c r="AE30" s="109"/>
      <c r="AF30" s="109"/>
      <c r="AG30" s="110"/>
      <c r="AH30" s="101"/>
      <c r="AI30" s="96"/>
      <c r="AJ30" s="96"/>
      <c r="AK30" s="96"/>
      <c r="AL30" s="96"/>
      <c r="AQ30" s="110"/>
      <c r="AR30" s="118"/>
      <c r="AS30" s="109"/>
      <c r="AT30" s="109"/>
      <c r="AU30" s="109"/>
      <c r="AV30" s="109"/>
      <c r="AW30" s="110"/>
      <c r="AX30" s="101"/>
      <c r="AY30" s="96"/>
      <c r="AZ30" s="96"/>
      <c r="BA30" s="96"/>
      <c r="BB30" s="96"/>
      <c r="BG30" s="110"/>
      <c r="BH30" s="118"/>
      <c r="BI30" s="109"/>
      <c r="BJ30" s="109"/>
      <c r="BK30" s="109"/>
      <c r="BL30" s="109"/>
      <c r="BM30" s="110"/>
      <c r="BN30" s="101"/>
      <c r="BO30" s="96"/>
      <c r="BP30" s="96"/>
      <c r="BQ30" s="96"/>
      <c r="BR30" s="96"/>
      <c r="BW30" s="110"/>
      <c r="BX30" s="118"/>
      <c r="BY30" s="109"/>
      <c r="BZ30" s="109"/>
      <c r="CA30" s="109"/>
      <c r="CB30" s="109"/>
      <c r="CC30" s="110"/>
      <c r="CD30" s="101"/>
      <c r="CE30" s="96"/>
      <c r="CF30" s="96"/>
      <c r="CG30" s="96"/>
      <c r="CH30" s="96"/>
      <c r="CM30" s="110"/>
      <c r="CN30" s="118"/>
      <c r="CO30" s="109"/>
      <c r="CP30" s="109"/>
      <c r="CQ30" s="109"/>
      <c r="CR30" s="109"/>
      <c r="CS30" s="110"/>
      <c r="CT30" s="101"/>
      <c r="CU30" s="96"/>
      <c r="CV30" s="96"/>
      <c r="CW30" s="96"/>
      <c r="CX30" s="96"/>
      <c r="DC30" s="110"/>
      <c r="DD30" s="118"/>
      <c r="DE30" s="109"/>
      <c r="DF30" s="109"/>
      <c r="DG30" s="109"/>
      <c r="DH30" s="109"/>
      <c r="DI30" s="110"/>
      <c r="DJ30" s="101"/>
      <c r="DK30" s="96"/>
      <c r="DL30" s="96"/>
      <c r="DM30" s="96"/>
      <c r="DN30" s="96"/>
      <c r="DS30" s="110"/>
      <c r="DT30" s="118"/>
      <c r="DU30" s="109"/>
      <c r="DV30" s="109"/>
      <c r="DW30" s="109"/>
      <c r="DX30" s="109"/>
      <c r="DY30" s="110"/>
      <c r="DZ30" s="101"/>
      <c r="EA30" s="96"/>
      <c r="EB30" s="96"/>
      <c r="EC30" s="96"/>
      <c r="ED30" s="96"/>
      <c r="EI30" s="110"/>
      <c r="EJ30" s="118"/>
      <c r="EK30" s="109"/>
      <c r="EL30" s="109"/>
      <c r="EM30" s="109"/>
      <c r="EN30" s="109"/>
      <c r="EO30" s="110"/>
      <c r="EP30" s="101"/>
      <c r="EQ30" s="96"/>
      <c r="ER30" s="96"/>
      <c r="ES30" s="96"/>
      <c r="ET30" s="96"/>
      <c r="EY30" s="110"/>
      <c r="EZ30" s="118"/>
      <c r="FA30" s="109"/>
      <c r="FB30" s="109"/>
      <c r="FC30" s="109"/>
      <c r="FD30" s="109"/>
      <c r="FE30" s="110"/>
      <c r="FF30" s="101"/>
      <c r="FG30" s="96"/>
      <c r="FH30" s="96"/>
      <c r="FI30" s="96"/>
      <c r="FJ30" s="96"/>
      <c r="FO30" s="110"/>
      <c r="FP30" s="118"/>
      <c r="FQ30" s="109"/>
      <c r="FR30" s="109"/>
      <c r="FS30" s="109"/>
      <c r="FT30" s="109"/>
      <c r="FU30" s="110"/>
      <c r="FV30" s="101"/>
      <c r="FW30" s="96"/>
      <c r="FX30" s="96"/>
      <c r="FY30" s="96"/>
      <c r="FZ30" s="96"/>
      <c r="GE30" s="110"/>
      <c r="GF30" s="118"/>
      <c r="GG30" s="109"/>
      <c r="GH30" s="109"/>
      <c r="GI30" s="109"/>
      <c r="GJ30" s="109"/>
      <c r="GK30" s="110"/>
      <c r="GL30" s="101"/>
      <c r="GM30" s="96"/>
      <c r="GN30" s="96"/>
      <c r="GO30" s="96"/>
      <c r="GP30" s="96"/>
      <c r="GU30" s="110"/>
      <c r="GV30" s="118"/>
      <c r="GW30" s="109"/>
      <c r="GX30" s="109"/>
      <c r="GY30" s="109"/>
      <c r="GZ30" s="109"/>
      <c r="HA30" s="110"/>
      <c r="HB30" s="101"/>
      <c r="HC30" s="96"/>
      <c r="HD30" s="96"/>
      <c r="HE30" s="96"/>
      <c r="HF30" s="96"/>
      <c r="HK30" s="110"/>
      <c r="HL30" s="118"/>
      <c r="HM30" s="109"/>
      <c r="HN30" s="109"/>
      <c r="HO30" s="109"/>
      <c r="HP30" s="109"/>
      <c r="HQ30" s="110"/>
      <c r="HR30" s="101"/>
      <c r="HS30" s="96"/>
      <c r="HT30" s="96"/>
      <c r="HU30" s="96"/>
      <c r="HV30" s="96"/>
      <c r="IA30" s="110"/>
      <c r="IB30" s="118"/>
      <c r="IC30" s="109"/>
      <c r="ID30" s="109"/>
      <c r="IE30" s="109"/>
      <c r="IF30" s="109"/>
      <c r="IG30" s="110"/>
      <c r="IH30" s="101"/>
      <c r="II30" s="96"/>
      <c r="IJ30" s="96"/>
      <c r="IK30" s="96"/>
      <c r="IL30" s="96"/>
      <c r="IQ30" s="110"/>
      <c r="IR30" s="118"/>
      <c r="IS30" s="109"/>
      <c r="IT30" s="109"/>
      <c r="IU30" s="109"/>
      <c r="IV30" s="109"/>
      <c r="IW30" s="110"/>
    </row>
    <row r="31" spans="1:257" s="82" customFormat="1" ht="70.5" hidden="1" customHeight="1" x14ac:dyDescent="0.2">
      <c r="A31" s="344" t="s">
        <v>146</v>
      </c>
      <c r="B31" s="345" t="s">
        <v>316</v>
      </c>
      <c r="C31" s="346">
        <v>0.25</v>
      </c>
      <c r="D31" s="347">
        <v>0.85</v>
      </c>
      <c r="E31" s="348">
        <f>C31*D31</f>
        <v>0.21249999999999999</v>
      </c>
      <c r="F31" s="347">
        <v>0.95</v>
      </c>
      <c r="G31" s="348">
        <f>C31*F31</f>
        <v>0.23749999999999999</v>
      </c>
      <c r="H31" s="347">
        <v>0.95</v>
      </c>
      <c r="I31" s="348">
        <f>C31*H31</f>
        <v>0.23749999999999999</v>
      </c>
      <c r="J31" s="347">
        <v>0.93</v>
      </c>
      <c r="K31" s="348">
        <f>$C$31*J31</f>
        <v>0.23250000000000001</v>
      </c>
      <c r="L31" s="347">
        <v>0.9</v>
      </c>
      <c r="M31" s="348">
        <f>$C$31*L31</f>
        <v>0.22500000000000001</v>
      </c>
      <c r="N31" s="347">
        <v>0.96</v>
      </c>
      <c r="O31" s="348">
        <f>$C$31*N31</f>
        <v>0.24</v>
      </c>
      <c r="P31" s="347">
        <v>0.98</v>
      </c>
      <c r="Q31" s="348">
        <f>$C$31*P31</f>
        <v>0.245</v>
      </c>
      <c r="R31" s="349">
        <v>0.94</v>
      </c>
      <c r="S31" s="349"/>
      <c r="T31" s="350">
        <f>$C$31*R31</f>
        <v>0.23499999999999999</v>
      </c>
      <c r="U31" s="349">
        <v>0.95</v>
      </c>
      <c r="V31" s="350">
        <f>$C$31*U31</f>
        <v>0.23749999999999999</v>
      </c>
      <c r="W31" s="351">
        <v>0.96</v>
      </c>
      <c r="X31" s="352">
        <f>$C$31*W31</f>
        <v>0.24</v>
      </c>
      <c r="Y31" s="351">
        <v>0.97</v>
      </c>
      <c r="Z31" s="352">
        <f>$C$31*Y31</f>
        <v>0.24249999999999999</v>
      </c>
      <c r="AA31" s="351">
        <f>'[3]Cumplimiento Objetivos '!E4</f>
        <v>0.94986666666666675</v>
      </c>
      <c r="AB31" s="352">
        <f>$C$31*AA31</f>
        <v>0.23746666666666669</v>
      </c>
      <c r="AC31" s="351">
        <f>'[3]Cumplimiento Objetivos '!F4</f>
        <v>0.97</v>
      </c>
      <c r="AD31" s="352">
        <f>$C$31*AC31</f>
        <v>0.24249999999999999</v>
      </c>
      <c r="AE31" s="109"/>
      <c r="AF31" s="109"/>
      <c r="AG31" s="110"/>
      <c r="AH31" s="101"/>
      <c r="AI31" s="96"/>
      <c r="AJ31" s="96"/>
      <c r="AK31" s="96"/>
      <c r="AL31" s="96"/>
      <c r="AQ31" s="110"/>
      <c r="AR31" s="118"/>
      <c r="AS31" s="109"/>
      <c r="AT31" s="109"/>
      <c r="AU31" s="109"/>
      <c r="AV31" s="109"/>
      <c r="AW31" s="110"/>
      <c r="AX31" s="101"/>
      <c r="AY31" s="96"/>
      <c r="AZ31" s="96"/>
      <c r="BA31" s="96"/>
      <c r="BB31" s="96"/>
      <c r="BG31" s="110"/>
      <c r="BH31" s="118"/>
      <c r="BI31" s="109"/>
      <c r="BJ31" s="109"/>
      <c r="BK31" s="109"/>
      <c r="BL31" s="109"/>
      <c r="BM31" s="110"/>
      <c r="BN31" s="101"/>
      <c r="BO31" s="96"/>
      <c r="BP31" s="96"/>
      <c r="BQ31" s="96"/>
      <c r="BR31" s="96"/>
      <c r="BW31" s="110"/>
      <c r="BX31" s="118"/>
      <c r="BY31" s="109"/>
      <c r="BZ31" s="109"/>
      <c r="CA31" s="109"/>
      <c r="CB31" s="109"/>
      <c r="CC31" s="110"/>
      <c r="CD31" s="101"/>
      <c r="CE31" s="96"/>
      <c r="CF31" s="96"/>
      <c r="CG31" s="96"/>
      <c r="CH31" s="96"/>
      <c r="CM31" s="110"/>
      <c r="CN31" s="118"/>
      <c r="CO31" s="109"/>
      <c r="CP31" s="109"/>
      <c r="CQ31" s="109"/>
      <c r="CR31" s="109"/>
      <c r="CS31" s="110"/>
      <c r="CT31" s="101"/>
      <c r="CU31" s="96"/>
      <c r="CV31" s="96"/>
      <c r="CW31" s="96"/>
      <c r="CX31" s="96"/>
      <c r="DC31" s="110"/>
      <c r="DD31" s="118"/>
      <c r="DE31" s="109"/>
      <c r="DF31" s="109"/>
      <c r="DG31" s="109"/>
      <c r="DH31" s="109"/>
      <c r="DI31" s="110"/>
      <c r="DJ31" s="101"/>
      <c r="DK31" s="96"/>
      <c r="DL31" s="96"/>
      <c r="DM31" s="96"/>
      <c r="DN31" s="96"/>
      <c r="DS31" s="110"/>
      <c r="DT31" s="118"/>
      <c r="DU31" s="109"/>
      <c r="DV31" s="109"/>
      <c r="DW31" s="109"/>
      <c r="DX31" s="109"/>
      <c r="DY31" s="110"/>
      <c r="DZ31" s="101"/>
      <c r="EA31" s="96"/>
      <c r="EB31" s="96"/>
      <c r="EC31" s="96"/>
      <c r="ED31" s="96"/>
      <c r="EI31" s="110"/>
      <c r="EJ31" s="118"/>
      <c r="EK31" s="109"/>
      <c r="EL31" s="109"/>
      <c r="EM31" s="109"/>
      <c r="EN31" s="109"/>
      <c r="EO31" s="110"/>
      <c r="EP31" s="101"/>
      <c r="EQ31" s="96"/>
      <c r="ER31" s="96"/>
      <c r="ES31" s="96"/>
      <c r="ET31" s="96"/>
      <c r="EY31" s="110"/>
      <c r="EZ31" s="118"/>
      <c r="FA31" s="109"/>
      <c r="FB31" s="109"/>
      <c r="FC31" s="109"/>
      <c r="FD31" s="109"/>
      <c r="FE31" s="110"/>
      <c r="FF31" s="101"/>
      <c r="FG31" s="96"/>
      <c r="FH31" s="96"/>
      <c r="FI31" s="96"/>
      <c r="FJ31" s="96"/>
      <c r="FO31" s="110"/>
      <c r="FP31" s="118"/>
      <c r="FQ31" s="109"/>
      <c r="FR31" s="109"/>
      <c r="FS31" s="109"/>
      <c r="FT31" s="109"/>
      <c r="FU31" s="110"/>
      <c r="FV31" s="101"/>
      <c r="FW31" s="96"/>
      <c r="FX31" s="96"/>
      <c r="FY31" s="96"/>
      <c r="FZ31" s="96"/>
      <c r="GE31" s="110"/>
      <c r="GF31" s="118"/>
      <c r="GG31" s="109"/>
      <c r="GH31" s="109"/>
      <c r="GI31" s="109"/>
      <c r="GJ31" s="109"/>
      <c r="GK31" s="110"/>
      <c r="GL31" s="101"/>
      <c r="GM31" s="96"/>
      <c r="GN31" s="96"/>
      <c r="GO31" s="96"/>
      <c r="GP31" s="96"/>
      <c r="GU31" s="110"/>
      <c r="GV31" s="118"/>
      <c r="GW31" s="109"/>
      <c r="GX31" s="109"/>
      <c r="GY31" s="109"/>
      <c r="GZ31" s="109"/>
      <c r="HA31" s="110"/>
      <c r="HB31" s="101"/>
      <c r="HC31" s="96"/>
      <c r="HD31" s="96"/>
      <c r="HE31" s="96"/>
      <c r="HF31" s="96"/>
      <c r="HK31" s="110"/>
      <c r="HL31" s="118"/>
      <c r="HM31" s="109"/>
      <c r="HN31" s="109"/>
      <c r="HO31" s="109"/>
      <c r="HP31" s="109"/>
      <c r="HQ31" s="110"/>
      <c r="HR31" s="101"/>
      <c r="HS31" s="96"/>
      <c r="HT31" s="96"/>
      <c r="HU31" s="96"/>
      <c r="HV31" s="96"/>
      <c r="IA31" s="110"/>
      <c r="IB31" s="118"/>
      <c r="IC31" s="109"/>
      <c r="ID31" s="109"/>
      <c r="IE31" s="109"/>
      <c r="IF31" s="109"/>
      <c r="IG31" s="110"/>
      <c r="IH31" s="101"/>
      <c r="II31" s="96"/>
      <c r="IJ31" s="96"/>
      <c r="IK31" s="96"/>
      <c r="IL31" s="96"/>
      <c r="IQ31" s="110"/>
      <c r="IR31" s="118"/>
      <c r="IS31" s="109"/>
      <c r="IT31" s="109"/>
      <c r="IU31" s="109"/>
      <c r="IV31" s="109"/>
      <c r="IW31" s="110"/>
    </row>
    <row r="32" spans="1:257" s="82" customFormat="1" ht="75" hidden="1" customHeight="1" x14ac:dyDescent="0.2">
      <c r="A32" s="344" t="s">
        <v>147</v>
      </c>
      <c r="B32" s="345" t="s">
        <v>317</v>
      </c>
      <c r="C32" s="346">
        <v>0.25</v>
      </c>
      <c r="D32" s="347">
        <v>0.75</v>
      </c>
      <c r="E32" s="348">
        <f>C32*D32</f>
        <v>0.1875</v>
      </c>
      <c r="F32" s="347">
        <v>0.41</v>
      </c>
      <c r="G32" s="348">
        <f>C32*F32</f>
        <v>0.10249999999999999</v>
      </c>
      <c r="H32" s="347">
        <v>0.5</v>
      </c>
      <c r="I32" s="348">
        <f>C32*H32</f>
        <v>0.125</v>
      </c>
      <c r="J32" s="347">
        <v>1</v>
      </c>
      <c r="K32" s="348">
        <f>$C$32*J32</f>
        <v>0.25</v>
      </c>
      <c r="L32" s="347">
        <v>1</v>
      </c>
      <c r="M32" s="348">
        <f>$C$32*L32</f>
        <v>0.25</v>
      </c>
      <c r="N32" s="347">
        <v>0.7</v>
      </c>
      <c r="O32" s="348">
        <f>$C$32*N32</f>
        <v>0.17499999999999999</v>
      </c>
      <c r="P32" s="347">
        <v>0.7</v>
      </c>
      <c r="Q32" s="348">
        <f>$C$32*P32</f>
        <v>0.17499999999999999</v>
      </c>
      <c r="R32" s="349">
        <v>1</v>
      </c>
      <c r="S32" s="349"/>
      <c r="T32" s="350">
        <f>$C$32*R32</f>
        <v>0.25</v>
      </c>
      <c r="U32" s="349">
        <v>1</v>
      </c>
      <c r="V32" s="350">
        <f>$C$32*U32</f>
        <v>0.25</v>
      </c>
      <c r="W32" s="351">
        <v>1</v>
      </c>
      <c r="X32" s="352">
        <f>$C$32*W32</f>
        <v>0.25</v>
      </c>
      <c r="Y32" s="351">
        <v>1</v>
      </c>
      <c r="Z32" s="352">
        <f>$C$32*Y32</f>
        <v>0.25</v>
      </c>
      <c r="AA32" s="351">
        <f>'[3]Cumplimiento Objetivos '!E5</f>
        <v>0.79200000000000004</v>
      </c>
      <c r="AB32" s="352">
        <f>$C$32*AA32</f>
        <v>0.19800000000000001</v>
      </c>
      <c r="AC32" s="351">
        <f>'[3]Cumplimiento Objetivos '!F5</f>
        <v>0.874</v>
      </c>
      <c r="AD32" s="352">
        <f>$C$32*AC32</f>
        <v>0.2185</v>
      </c>
      <c r="AE32" s="109"/>
      <c r="AF32" s="109"/>
      <c r="AG32" s="110"/>
      <c r="AH32" s="101"/>
      <c r="AI32" s="96"/>
      <c r="AJ32" s="96"/>
      <c r="AK32" s="96"/>
      <c r="AL32" s="96"/>
      <c r="AQ32" s="110"/>
      <c r="AR32" s="118"/>
      <c r="AS32" s="109"/>
      <c r="AT32" s="109"/>
      <c r="AU32" s="109"/>
      <c r="AV32" s="109"/>
      <c r="AW32" s="110"/>
      <c r="AX32" s="101"/>
      <c r="AY32" s="96"/>
      <c r="AZ32" s="96"/>
      <c r="BA32" s="96"/>
      <c r="BB32" s="96"/>
      <c r="BG32" s="110"/>
      <c r="BH32" s="118"/>
      <c r="BI32" s="109"/>
      <c r="BJ32" s="109"/>
      <c r="BK32" s="109"/>
      <c r="BL32" s="109"/>
      <c r="BM32" s="110"/>
      <c r="BN32" s="101"/>
      <c r="BO32" s="96"/>
      <c r="BP32" s="96"/>
      <c r="BQ32" s="96"/>
      <c r="BR32" s="96"/>
      <c r="BW32" s="110"/>
      <c r="BX32" s="118"/>
      <c r="BY32" s="109"/>
      <c r="BZ32" s="109"/>
      <c r="CA32" s="109"/>
      <c r="CB32" s="109"/>
      <c r="CC32" s="110"/>
      <c r="CD32" s="101"/>
      <c r="CE32" s="96"/>
      <c r="CF32" s="96"/>
      <c r="CG32" s="96"/>
      <c r="CH32" s="96"/>
      <c r="CM32" s="110"/>
      <c r="CN32" s="118"/>
      <c r="CO32" s="109"/>
      <c r="CP32" s="109"/>
      <c r="CQ32" s="109"/>
      <c r="CR32" s="109"/>
      <c r="CS32" s="110"/>
      <c r="CT32" s="101"/>
      <c r="CU32" s="96"/>
      <c r="CV32" s="96"/>
      <c r="CW32" s="96"/>
      <c r="CX32" s="96"/>
      <c r="DC32" s="110"/>
      <c r="DD32" s="118"/>
      <c r="DE32" s="109"/>
      <c r="DF32" s="109"/>
      <c r="DG32" s="109"/>
      <c r="DH32" s="109"/>
      <c r="DI32" s="110"/>
      <c r="DJ32" s="101"/>
      <c r="DK32" s="96"/>
      <c r="DL32" s="96"/>
      <c r="DM32" s="96"/>
      <c r="DN32" s="96"/>
      <c r="DS32" s="110"/>
      <c r="DT32" s="118"/>
      <c r="DU32" s="109"/>
      <c r="DV32" s="109"/>
      <c r="DW32" s="109"/>
      <c r="DX32" s="109"/>
      <c r="DY32" s="110"/>
      <c r="DZ32" s="101"/>
      <c r="EA32" s="96"/>
      <c r="EB32" s="96"/>
      <c r="EC32" s="96"/>
      <c r="ED32" s="96"/>
      <c r="EI32" s="110"/>
      <c r="EJ32" s="118"/>
      <c r="EK32" s="109"/>
      <c r="EL32" s="109"/>
      <c r="EM32" s="109"/>
      <c r="EN32" s="109"/>
      <c r="EO32" s="110"/>
      <c r="EP32" s="101"/>
      <c r="EQ32" s="96"/>
      <c r="ER32" s="96"/>
      <c r="ES32" s="96"/>
      <c r="ET32" s="96"/>
      <c r="EY32" s="110"/>
      <c r="EZ32" s="118"/>
      <c r="FA32" s="109"/>
      <c r="FB32" s="109"/>
      <c r="FC32" s="109"/>
      <c r="FD32" s="109"/>
      <c r="FE32" s="110"/>
      <c r="FF32" s="101"/>
      <c r="FG32" s="96"/>
      <c r="FH32" s="96"/>
      <c r="FI32" s="96"/>
      <c r="FJ32" s="96"/>
      <c r="FO32" s="110"/>
      <c r="FP32" s="118"/>
      <c r="FQ32" s="109"/>
      <c r="FR32" s="109"/>
      <c r="FS32" s="109"/>
      <c r="FT32" s="109"/>
      <c r="FU32" s="110"/>
      <c r="FV32" s="101"/>
      <c r="FW32" s="96"/>
      <c r="FX32" s="96"/>
      <c r="FY32" s="96"/>
      <c r="FZ32" s="96"/>
      <c r="GE32" s="110"/>
      <c r="GF32" s="118"/>
      <c r="GG32" s="109"/>
      <c r="GH32" s="109"/>
      <c r="GI32" s="109"/>
      <c r="GJ32" s="109"/>
      <c r="GK32" s="110"/>
      <c r="GL32" s="101"/>
      <c r="GM32" s="96"/>
      <c r="GN32" s="96"/>
      <c r="GO32" s="96"/>
      <c r="GP32" s="96"/>
      <c r="GU32" s="110"/>
      <c r="GV32" s="118"/>
      <c r="GW32" s="109"/>
      <c r="GX32" s="109"/>
      <c r="GY32" s="109"/>
      <c r="GZ32" s="109"/>
      <c r="HA32" s="110"/>
      <c r="HB32" s="101"/>
      <c r="HC32" s="96"/>
      <c r="HD32" s="96"/>
      <c r="HE32" s="96"/>
      <c r="HF32" s="96"/>
      <c r="HK32" s="110"/>
      <c r="HL32" s="118"/>
      <c r="HM32" s="109"/>
      <c r="HN32" s="109"/>
      <c r="HO32" s="109"/>
      <c r="HP32" s="109"/>
      <c r="HQ32" s="110"/>
      <c r="HR32" s="101"/>
      <c r="HS32" s="96"/>
      <c r="HT32" s="96"/>
      <c r="HU32" s="96"/>
      <c r="HV32" s="96"/>
      <c r="IA32" s="110"/>
      <c r="IB32" s="118"/>
      <c r="IC32" s="109"/>
      <c r="ID32" s="109"/>
      <c r="IE32" s="109"/>
      <c r="IF32" s="109"/>
      <c r="IG32" s="110"/>
      <c r="IH32" s="101"/>
      <c r="II32" s="96"/>
      <c r="IJ32" s="96"/>
      <c r="IK32" s="96"/>
      <c r="IL32" s="96"/>
      <c r="IQ32" s="110"/>
      <c r="IR32" s="118"/>
      <c r="IS32" s="109"/>
      <c r="IT32" s="109"/>
      <c r="IU32" s="109"/>
      <c r="IV32" s="109"/>
      <c r="IW32" s="110"/>
    </row>
    <row r="33" spans="1:257" s="82" customFormat="1" ht="67.5" hidden="1" x14ac:dyDescent="0.2">
      <c r="A33" s="344" t="s">
        <v>148</v>
      </c>
      <c r="B33" s="345" t="s">
        <v>318</v>
      </c>
      <c r="C33" s="346">
        <v>0.25</v>
      </c>
      <c r="D33" s="347">
        <v>0.68</v>
      </c>
      <c r="E33" s="348">
        <f>C33*D33</f>
        <v>0.17</v>
      </c>
      <c r="F33" s="347">
        <v>0.52</v>
      </c>
      <c r="G33" s="348">
        <f>C33*F33</f>
        <v>0.13</v>
      </c>
      <c r="H33" s="347">
        <v>0.7</v>
      </c>
      <c r="I33" s="348">
        <f>C33*H33</f>
        <v>0.17499999999999999</v>
      </c>
      <c r="J33" s="347">
        <v>0.86</v>
      </c>
      <c r="K33" s="348">
        <f>$C$33*J33</f>
        <v>0.215</v>
      </c>
      <c r="L33" s="347">
        <v>0.61</v>
      </c>
      <c r="M33" s="348">
        <f>$C$33*L33</f>
        <v>0.1525</v>
      </c>
      <c r="N33" s="347">
        <v>0.55000000000000004</v>
      </c>
      <c r="O33" s="348">
        <f>$C$33*N33</f>
        <v>0.13750000000000001</v>
      </c>
      <c r="P33" s="347">
        <v>0.55000000000000004</v>
      </c>
      <c r="Q33" s="348">
        <f>$C$33*P33</f>
        <v>0.13750000000000001</v>
      </c>
      <c r="R33" s="349">
        <v>0.48</v>
      </c>
      <c r="S33" s="349"/>
      <c r="T33" s="350">
        <f>$C$33*R33</f>
        <v>0.12</v>
      </c>
      <c r="U33" s="349">
        <v>0.48</v>
      </c>
      <c r="V33" s="350">
        <f>$C$33*U33</f>
        <v>0.12</v>
      </c>
      <c r="W33" s="351">
        <v>0.63</v>
      </c>
      <c r="X33" s="352">
        <f>$C$33*W33</f>
        <v>0.1575</v>
      </c>
      <c r="Y33" s="351">
        <v>0.63</v>
      </c>
      <c r="Z33" s="352">
        <f>$C$33*Y33</f>
        <v>0.1575</v>
      </c>
      <c r="AA33" s="351">
        <f>'[3]Cumplimiento Objetivos '!E6</f>
        <v>0.87432222222222222</v>
      </c>
      <c r="AB33" s="352">
        <f>$C$33*AA33</f>
        <v>0.21858055555555556</v>
      </c>
      <c r="AC33" s="351">
        <f>'[3]Cumplimiento Objetivos '!F6</f>
        <v>0.91714444444444443</v>
      </c>
      <c r="AD33" s="352">
        <f>$C$33*AC33</f>
        <v>0.22928611111111111</v>
      </c>
      <c r="AE33" s="109"/>
      <c r="AF33" s="109"/>
      <c r="AG33" s="110"/>
      <c r="AH33" s="101"/>
      <c r="AI33" s="96"/>
      <c r="AJ33" s="96"/>
      <c r="AK33" s="96"/>
      <c r="AL33" s="96"/>
      <c r="AQ33" s="110"/>
      <c r="AR33" s="118"/>
      <c r="AS33" s="109"/>
      <c r="AT33" s="109"/>
      <c r="AU33" s="109"/>
      <c r="AV33" s="109"/>
      <c r="AW33" s="110"/>
      <c r="AX33" s="101"/>
      <c r="AY33" s="96"/>
      <c r="AZ33" s="96"/>
      <c r="BA33" s="96"/>
      <c r="BB33" s="96"/>
      <c r="BG33" s="110"/>
      <c r="BH33" s="118"/>
      <c r="BI33" s="109"/>
      <c r="BJ33" s="109"/>
      <c r="BK33" s="109"/>
      <c r="BL33" s="109"/>
      <c r="BM33" s="110"/>
      <c r="BN33" s="101"/>
      <c r="BO33" s="96"/>
      <c r="BP33" s="96"/>
      <c r="BQ33" s="96"/>
      <c r="BR33" s="96"/>
      <c r="BW33" s="110"/>
      <c r="BX33" s="118"/>
      <c r="BY33" s="109"/>
      <c r="BZ33" s="109"/>
      <c r="CA33" s="109"/>
      <c r="CB33" s="109"/>
      <c r="CC33" s="110"/>
      <c r="CD33" s="101"/>
      <c r="CE33" s="96"/>
      <c r="CF33" s="96"/>
      <c r="CG33" s="96"/>
      <c r="CH33" s="96"/>
      <c r="CM33" s="110"/>
      <c r="CN33" s="118"/>
      <c r="CO33" s="109"/>
      <c r="CP33" s="109"/>
      <c r="CQ33" s="109"/>
      <c r="CR33" s="109"/>
      <c r="CS33" s="110"/>
      <c r="CT33" s="101"/>
      <c r="CU33" s="96"/>
      <c r="CV33" s="96"/>
      <c r="CW33" s="96"/>
      <c r="CX33" s="96"/>
      <c r="DC33" s="110"/>
      <c r="DD33" s="118"/>
      <c r="DE33" s="109"/>
      <c r="DF33" s="109"/>
      <c r="DG33" s="109"/>
      <c r="DH33" s="109"/>
      <c r="DI33" s="110"/>
      <c r="DJ33" s="101"/>
      <c r="DK33" s="96"/>
      <c r="DL33" s="96"/>
      <c r="DM33" s="96"/>
      <c r="DN33" s="96"/>
      <c r="DS33" s="110"/>
      <c r="DT33" s="118"/>
      <c r="DU33" s="109"/>
      <c r="DV33" s="109"/>
      <c r="DW33" s="109"/>
      <c r="DX33" s="109"/>
      <c r="DY33" s="110"/>
      <c r="DZ33" s="101"/>
      <c r="EA33" s="96"/>
      <c r="EB33" s="96"/>
      <c r="EC33" s="96"/>
      <c r="ED33" s="96"/>
      <c r="EI33" s="110"/>
      <c r="EJ33" s="118"/>
      <c r="EK33" s="109"/>
      <c r="EL33" s="109"/>
      <c r="EM33" s="109"/>
      <c r="EN33" s="109"/>
      <c r="EO33" s="110"/>
      <c r="EP33" s="101"/>
      <c r="EQ33" s="96"/>
      <c r="ER33" s="96"/>
      <c r="ES33" s="96"/>
      <c r="ET33" s="96"/>
      <c r="EY33" s="110"/>
      <c r="EZ33" s="118"/>
      <c r="FA33" s="109"/>
      <c r="FB33" s="109"/>
      <c r="FC33" s="109"/>
      <c r="FD33" s="109"/>
      <c r="FE33" s="110"/>
      <c r="FF33" s="101"/>
      <c r="FG33" s="96"/>
      <c r="FH33" s="96"/>
      <c r="FI33" s="96"/>
      <c r="FJ33" s="96"/>
      <c r="FO33" s="110"/>
      <c r="FP33" s="118"/>
      <c r="FQ33" s="109"/>
      <c r="FR33" s="109"/>
      <c r="FS33" s="109"/>
      <c r="FT33" s="109"/>
      <c r="FU33" s="110"/>
      <c r="FV33" s="101"/>
      <c r="FW33" s="96"/>
      <c r="FX33" s="96"/>
      <c r="FY33" s="96"/>
      <c r="FZ33" s="96"/>
      <c r="GE33" s="110"/>
      <c r="GF33" s="118"/>
      <c r="GG33" s="109"/>
      <c r="GH33" s="109"/>
      <c r="GI33" s="109"/>
      <c r="GJ33" s="109"/>
      <c r="GK33" s="110"/>
      <c r="GL33" s="101"/>
      <c r="GM33" s="96"/>
      <c r="GN33" s="96"/>
      <c r="GO33" s="96"/>
      <c r="GP33" s="96"/>
      <c r="GU33" s="110"/>
      <c r="GV33" s="118"/>
      <c r="GW33" s="109"/>
      <c r="GX33" s="109"/>
      <c r="GY33" s="109"/>
      <c r="GZ33" s="109"/>
      <c r="HA33" s="110"/>
      <c r="HB33" s="101"/>
      <c r="HC33" s="96"/>
      <c r="HD33" s="96"/>
      <c r="HE33" s="96"/>
      <c r="HF33" s="96"/>
      <c r="HK33" s="110"/>
      <c r="HL33" s="118"/>
      <c r="HM33" s="109"/>
      <c r="HN33" s="109"/>
      <c r="HO33" s="109"/>
      <c r="HP33" s="109"/>
      <c r="HQ33" s="110"/>
      <c r="HR33" s="101"/>
      <c r="HS33" s="96"/>
      <c r="HT33" s="96"/>
      <c r="HU33" s="96"/>
      <c r="HV33" s="96"/>
      <c r="IA33" s="110"/>
      <c r="IB33" s="118"/>
      <c r="IC33" s="109"/>
      <c r="ID33" s="109"/>
      <c r="IE33" s="109"/>
      <c r="IF33" s="109"/>
      <c r="IG33" s="110"/>
      <c r="IH33" s="101"/>
      <c r="II33" s="96"/>
      <c r="IJ33" s="96"/>
      <c r="IK33" s="96"/>
      <c r="IL33" s="96"/>
      <c r="IQ33" s="110"/>
      <c r="IR33" s="118"/>
      <c r="IS33" s="109"/>
      <c r="IT33" s="109"/>
      <c r="IU33" s="109"/>
      <c r="IV33" s="109"/>
      <c r="IW33" s="110"/>
    </row>
    <row r="34" spans="1:257" s="82" customFormat="1" ht="23.25" hidden="1" x14ac:dyDescent="0.35">
      <c r="A34" s="95"/>
      <c r="B34" s="353" t="s">
        <v>53</v>
      </c>
      <c r="C34" s="354">
        <v>1</v>
      </c>
      <c r="D34" s="340">
        <f>AVERAGE(D30:D33)</f>
        <v>0.7400000000000001</v>
      </c>
      <c r="E34" s="355">
        <f>SUM(E30:E33)/100</f>
        <v>7.4000000000000012E-3</v>
      </c>
      <c r="F34" s="340">
        <f>AVERAGE(F30:F33)</f>
        <v>0.64</v>
      </c>
      <c r="G34" s="340">
        <f>SUM(G30:G33)/100</f>
        <v>6.4000000000000003E-3</v>
      </c>
      <c r="H34" s="340">
        <f>AVERAGE(H30:H33)</f>
        <v>0.71666666666666667</v>
      </c>
      <c r="I34" s="340">
        <f>SUM(I30:I33)/100</f>
        <v>5.3749999999999996E-3</v>
      </c>
      <c r="J34" s="340">
        <f>AVERAGE(J30:J33)</f>
        <v>0.91879999999999995</v>
      </c>
      <c r="K34" s="340">
        <f>SUM(K30:K33)/100</f>
        <v>9.188E-3</v>
      </c>
      <c r="L34" s="339">
        <f>AVERAGE(L30:L33)</f>
        <v>0.8488</v>
      </c>
      <c r="M34" s="340">
        <f>SUM(M30:M33)/100</f>
        <v>8.4880000000000008E-3</v>
      </c>
      <c r="N34" s="340">
        <f>AVERAGE(N30:N33)</f>
        <v>0.79249999999999998</v>
      </c>
      <c r="O34" s="340">
        <f>SUM(O30:O33)/100</f>
        <v>7.9249999999999998E-3</v>
      </c>
      <c r="P34" s="339">
        <f>AVERAGE(P30:P33)</f>
        <v>0.8</v>
      </c>
      <c r="Q34" s="340">
        <f>SUM(Q30:Q33)/100</f>
        <v>8.0000000000000002E-3</v>
      </c>
      <c r="R34" s="356">
        <f>AVERAGE(R30:R33)</f>
        <v>0.83</v>
      </c>
      <c r="S34" s="356"/>
      <c r="T34" s="357">
        <f>SUM(T30:T33)/100</f>
        <v>8.3000000000000001E-3</v>
      </c>
      <c r="U34" s="356">
        <v>0.81</v>
      </c>
      <c r="V34" s="357">
        <f>SUM(V30:V33)/100</f>
        <v>8.1250000000000003E-3</v>
      </c>
      <c r="W34" s="356">
        <f>AVERAGE(W30:W33)</f>
        <v>0.86249999999999993</v>
      </c>
      <c r="X34" s="357">
        <f>SUM(X30:X33)/100</f>
        <v>8.624999999999999E-3</v>
      </c>
      <c r="Y34" s="356">
        <v>0.87</v>
      </c>
      <c r="Z34" s="357">
        <f>SUM(Z30:Z33)/100</f>
        <v>8.7250000000000001E-3</v>
      </c>
      <c r="AA34" s="356"/>
      <c r="AB34" s="357">
        <f>SUM(AB30:AB33)/100</f>
        <v>8.8007222222222219E-3</v>
      </c>
      <c r="AC34" s="356"/>
      <c r="AD34" s="357">
        <f>SUM(AD30:AD33)/100</f>
        <v>9.1714444444444439E-3</v>
      </c>
      <c r="AE34" s="109"/>
      <c r="AF34" s="109"/>
      <c r="AG34" s="110"/>
      <c r="AH34" s="101"/>
      <c r="AI34" s="96"/>
      <c r="AJ34" s="96"/>
      <c r="AK34" s="96"/>
      <c r="AL34" s="96"/>
      <c r="AQ34" s="110"/>
      <c r="AR34" s="118"/>
      <c r="AS34" s="109"/>
      <c r="AT34" s="109"/>
      <c r="AU34" s="109"/>
      <c r="AV34" s="109"/>
      <c r="AW34" s="110"/>
      <c r="AX34" s="101"/>
      <c r="AY34" s="96"/>
      <c r="AZ34" s="96"/>
      <c r="BA34" s="96"/>
      <c r="BB34" s="96"/>
      <c r="BG34" s="110"/>
      <c r="BH34" s="118"/>
      <c r="BI34" s="109"/>
      <c r="BJ34" s="109"/>
      <c r="BK34" s="109"/>
      <c r="BL34" s="109"/>
      <c r="BM34" s="110"/>
      <c r="BN34" s="101"/>
      <c r="BO34" s="96"/>
      <c r="BP34" s="96"/>
      <c r="BQ34" s="96"/>
      <c r="BR34" s="96"/>
      <c r="BW34" s="110"/>
      <c r="BX34" s="118"/>
      <c r="BY34" s="109"/>
      <c r="BZ34" s="109"/>
      <c r="CA34" s="109"/>
      <c r="CB34" s="109"/>
      <c r="CC34" s="110"/>
      <c r="CD34" s="101"/>
      <c r="CE34" s="96"/>
      <c r="CF34" s="96"/>
      <c r="CG34" s="96"/>
      <c r="CH34" s="96"/>
      <c r="CM34" s="110"/>
      <c r="CN34" s="118"/>
      <c r="CO34" s="109"/>
      <c r="CP34" s="109"/>
      <c r="CQ34" s="109"/>
      <c r="CR34" s="109"/>
      <c r="CS34" s="110"/>
      <c r="CT34" s="101"/>
      <c r="CU34" s="96"/>
      <c r="CV34" s="96"/>
      <c r="CW34" s="96"/>
      <c r="CX34" s="96"/>
      <c r="DC34" s="110"/>
      <c r="DD34" s="118"/>
      <c r="DE34" s="109"/>
      <c r="DF34" s="109"/>
      <c r="DG34" s="109"/>
      <c r="DH34" s="109"/>
      <c r="DI34" s="110"/>
      <c r="DJ34" s="101"/>
      <c r="DK34" s="96"/>
      <c r="DL34" s="96"/>
      <c r="DM34" s="96"/>
      <c r="DN34" s="96"/>
      <c r="DS34" s="110"/>
      <c r="DT34" s="118"/>
      <c r="DU34" s="109"/>
      <c r="DV34" s="109"/>
      <c r="DW34" s="109"/>
      <c r="DX34" s="109"/>
      <c r="DY34" s="110"/>
      <c r="DZ34" s="101"/>
      <c r="EA34" s="96"/>
      <c r="EB34" s="96"/>
      <c r="EC34" s="96"/>
      <c r="ED34" s="96"/>
      <c r="EI34" s="110"/>
      <c r="EJ34" s="118"/>
      <c r="EK34" s="109"/>
      <c r="EL34" s="109"/>
      <c r="EM34" s="109"/>
      <c r="EN34" s="109"/>
      <c r="EO34" s="110"/>
      <c r="EP34" s="101"/>
      <c r="EQ34" s="96"/>
      <c r="ER34" s="96"/>
      <c r="ES34" s="96"/>
      <c r="ET34" s="96"/>
      <c r="EY34" s="110"/>
      <c r="EZ34" s="118"/>
      <c r="FA34" s="109"/>
      <c r="FB34" s="109"/>
      <c r="FC34" s="109"/>
      <c r="FD34" s="109"/>
      <c r="FE34" s="110"/>
      <c r="FF34" s="101"/>
      <c r="FG34" s="96"/>
      <c r="FH34" s="96"/>
      <c r="FI34" s="96"/>
      <c r="FJ34" s="96"/>
      <c r="FO34" s="110"/>
      <c r="FP34" s="118"/>
      <c r="FQ34" s="109"/>
      <c r="FR34" s="109"/>
      <c r="FS34" s="109"/>
      <c r="FT34" s="109"/>
      <c r="FU34" s="110"/>
      <c r="FV34" s="101"/>
      <c r="FW34" s="96"/>
      <c r="FX34" s="96"/>
      <c r="FY34" s="96"/>
      <c r="FZ34" s="96"/>
      <c r="GE34" s="110"/>
      <c r="GF34" s="118"/>
      <c r="GG34" s="109"/>
      <c r="GH34" s="109"/>
      <c r="GI34" s="109"/>
      <c r="GJ34" s="109"/>
      <c r="GK34" s="110"/>
      <c r="GL34" s="101"/>
      <c r="GM34" s="96"/>
      <c r="GN34" s="96"/>
      <c r="GO34" s="96"/>
      <c r="GP34" s="96"/>
      <c r="GU34" s="110"/>
      <c r="GV34" s="118"/>
      <c r="GW34" s="109"/>
      <c r="GX34" s="109"/>
      <c r="GY34" s="109"/>
      <c r="GZ34" s="109"/>
      <c r="HA34" s="110"/>
      <c r="HB34" s="101"/>
      <c r="HC34" s="96"/>
      <c r="HD34" s="96"/>
      <c r="HE34" s="96"/>
      <c r="HF34" s="96"/>
      <c r="HK34" s="110"/>
      <c r="HL34" s="118"/>
      <c r="HM34" s="109"/>
      <c r="HN34" s="109"/>
      <c r="HO34" s="109"/>
      <c r="HP34" s="109"/>
      <c r="HQ34" s="110"/>
      <c r="HR34" s="101"/>
      <c r="HS34" s="96"/>
      <c r="HT34" s="96"/>
      <c r="HU34" s="96"/>
      <c r="HV34" s="96"/>
      <c r="IA34" s="110"/>
      <c r="IB34" s="118"/>
      <c r="IC34" s="109"/>
      <c r="ID34" s="109"/>
      <c r="IE34" s="109"/>
      <c r="IF34" s="109"/>
      <c r="IG34" s="110"/>
      <c r="IH34" s="101"/>
      <c r="II34" s="96"/>
      <c r="IJ34" s="96"/>
      <c r="IK34" s="96"/>
      <c r="IL34" s="96"/>
      <c r="IQ34" s="110"/>
      <c r="IR34" s="118"/>
      <c r="IS34" s="109"/>
      <c r="IT34" s="109"/>
      <c r="IU34" s="109"/>
      <c r="IV34" s="109"/>
      <c r="IW34" s="110"/>
    </row>
    <row r="35" spans="1:257" s="82" customFormat="1" ht="15.75" x14ac:dyDescent="0.25">
      <c r="A35" s="95"/>
      <c r="B35" s="119"/>
      <c r="C35" s="120"/>
      <c r="D35" s="121"/>
      <c r="E35" s="122"/>
      <c r="F35" s="121"/>
      <c r="G35" s="121"/>
      <c r="H35" s="121"/>
      <c r="I35" s="121"/>
      <c r="J35" s="121"/>
      <c r="K35" s="121"/>
      <c r="L35" s="114"/>
      <c r="M35" s="121"/>
      <c r="N35" s="121"/>
      <c r="O35" s="121"/>
      <c r="P35" s="114"/>
      <c r="Q35" s="121"/>
      <c r="AE35" s="109"/>
      <c r="AF35" s="109"/>
      <c r="AG35" s="110"/>
      <c r="AH35" s="101"/>
      <c r="AI35" s="96"/>
      <c r="AJ35" s="96"/>
      <c r="AK35" s="96"/>
      <c r="AL35" s="96"/>
      <c r="AQ35" s="110"/>
      <c r="AR35" s="118"/>
      <c r="AS35" s="109"/>
      <c r="AT35" s="109"/>
      <c r="AU35" s="109"/>
      <c r="AV35" s="109"/>
      <c r="AW35" s="110"/>
      <c r="AX35" s="101"/>
      <c r="AY35" s="96"/>
      <c r="AZ35" s="96"/>
      <c r="BA35" s="96"/>
      <c r="BB35" s="96"/>
      <c r="BG35" s="110"/>
      <c r="BH35" s="118"/>
      <c r="BI35" s="109"/>
      <c r="BJ35" s="109"/>
      <c r="BK35" s="109"/>
      <c r="BL35" s="109"/>
      <c r="BM35" s="110"/>
      <c r="BN35" s="101"/>
      <c r="BO35" s="96"/>
      <c r="BP35" s="96"/>
      <c r="BQ35" s="96"/>
      <c r="BR35" s="96"/>
      <c r="BW35" s="110"/>
      <c r="BX35" s="118"/>
      <c r="BY35" s="109"/>
      <c r="BZ35" s="109"/>
      <c r="CA35" s="109"/>
      <c r="CB35" s="109"/>
      <c r="CC35" s="110"/>
      <c r="CD35" s="101"/>
      <c r="CE35" s="96"/>
      <c r="CF35" s="96"/>
      <c r="CG35" s="96"/>
      <c r="CH35" s="96"/>
      <c r="CM35" s="110"/>
      <c r="CN35" s="118"/>
      <c r="CO35" s="109"/>
      <c r="CP35" s="109"/>
      <c r="CQ35" s="109"/>
      <c r="CR35" s="109"/>
      <c r="CS35" s="110"/>
      <c r="CT35" s="101"/>
      <c r="CU35" s="96"/>
      <c r="CV35" s="96"/>
      <c r="CW35" s="96"/>
      <c r="CX35" s="96"/>
      <c r="DC35" s="110"/>
      <c r="DD35" s="118"/>
      <c r="DE35" s="109"/>
      <c r="DF35" s="109"/>
      <c r="DG35" s="109"/>
      <c r="DH35" s="109"/>
      <c r="DI35" s="110"/>
      <c r="DJ35" s="101"/>
      <c r="DK35" s="96"/>
      <c r="DL35" s="96"/>
      <c r="DM35" s="96"/>
      <c r="DN35" s="96"/>
      <c r="DS35" s="110"/>
      <c r="DT35" s="118"/>
      <c r="DU35" s="109"/>
      <c r="DV35" s="109"/>
      <c r="DW35" s="109"/>
      <c r="DX35" s="109"/>
      <c r="DY35" s="110"/>
      <c r="DZ35" s="101"/>
      <c r="EA35" s="96"/>
      <c r="EB35" s="96"/>
      <c r="EC35" s="96"/>
      <c r="ED35" s="96"/>
      <c r="EI35" s="110"/>
      <c r="EJ35" s="118"/>
      <c r="EK35" s="109"/>
      <c r="EL35" s="109"/>
      <c r="EM35" s="109"/>
      <c r="EN35" s="109"/>
      <c r="EO35" s="110"/>
      <c r="EP35" s="101"/>
      <c r="EQ35" s="96"/>
      <c r="ER35" s="96"/>
      <c r="ES35" s="96"/>
      <c r="ET35" s="96"/>
      <c r="EY35" s="110"/>
      <c r="EZ35" s="118"/>
      <c r="FA35" s="109"/>
      <c r="FB35" s="109"/>
      <c r="FC35" s="109"/>
      <c r="FD35" s="109"/>
      <c r="FE35" s="110"/>
      <c r="FF35" s="101"/>
      <c r="FG35" s="96"/>
      <c r="FH35" s="96"/>
      <c r="FI35" s="96"/>
      <c r="FJ35" s="96"/>
      <c r="FO35" s="110"/>
      <c r="FP35" s="118"/>
      <c r="FQ35" s="109"/>
      <c r="FR35" s="109"/>
      <c r="FS35" s="109"/>
      <c r="FT35" s="109"/>
      <c r="FU35" s="110"/>
      <c r="FV35" s="101"/>
      <c r="FW35" s="96"/>
      <c r="FX35" s="96"/>
      <c r="FY35" s="96"/>
      <c r="FZ35" s="96"/>
      <c r="GE35" s="110"/>
      <c r="GF35" s="118"/>
      <c r="GG35" s="109"/>
      <c r="GH35" s="109"/>
      <c r="GI35" s="109"/>
      <c r="GJ35" s="109"/>
      <c r="GK35" s="110"/>
      <c r="GL35" s="101"/>
      <c r="GM35" s="96"/>
      <c r="GN35" s="96"/>
      <c r="GO35" s="96"/>
      <c r="GP35" s="96"/>
      <c r="GU35" s="110"/>
      <c r="GV35" s="118"/>
      <c r="GW35" s="109"/>
      <c r="GX35" s="109"/>
      <c r="GY35" s="109"/>
      <c r="GZ35" s="109"/>
      <c r="HA35" s="110"/>
      <c r="HB35" s="101"/>
      <c r="HC35" s="96"/>
      <c r="HD35" s="96"/>
      <c r="HE35" s="96"/>
      <c r="HF35" s="96"/>
      <c r="HK35" s="110"/>
      <c r="HL35" s="118"/>
      <c r="HM35" s="109"/>
      <c r="HN35" s="109"/>
      <c r="HO35" s="109"/>
      <c r="HP35" s="109"/>
      <c r="HQ35" s="110"/>
      <c r="HR35" s="101"/>
      <c r="HS35" s="96"/>
      <c r="HT35" s="96"/>
      <c r="HU35" s="96"/>
      <c r="HV35" s="96"/>
      <c r="IA35" s="110"/>
      <c r="IB35" s="118"/>
      <c r="IC35" s="109"/>
      <c r="ID35" s="109"/>
      <c r="IE35" s="109"/>
      <c r="IF35" s="109"/>
      <c r="IG35" s="110"/>
      <c r="IH35" s="101"/>
      <c r="II35" s="96"/>
      <c r="IJ35" s="96"/>
      <c r="IK35" s="96"/>
      <c r="IL35" s="96"/>
      <c r="IQ35" s="110"/>
      <c r="IR35" s="118"/>
      <c r="IS35" s="109"/>
      <c r="IT35" s="109"/>
      <c r="IU35" s="109"/>
      <c r="IV35" s="109"/>
      <c r="IW35" s="110"/>
    </row>
    <row r="36" spans="1:257" s="82" customFormat="1" ht="15.75" x14ac:dyDescent="0.25">
      <c r="A36" s="2480" t="s">
        <v>1309</v>
      </c>
      <c r="B36" s="2481"/>
      <c r="C36" s="2481"/>
      <c r="D36" s="2481"/>
      <c r="E36" s="2481"/>
      <c r="F36" s="2481"/>
      <c r="G36" s="120"/>
      <c r="H36" s="121"/>
      <c r="I36" s="122"/>
      <c r="J36" s="121"/>
      <c r="K36" s="121"/>
      <c r="L36" s="121"/>
      <c r="M36" s="121"/>
      <c r="N36" s="121"/>
      <c r="O36" s="121"/>
      <c r="P36" s="121"/>
      <c r="Q36" s="121"/>
      <c r="R36" s="96"/>
      <c r="S36" s="96"/>
      <c r="T36" s="96"/>
      <c r="U36" s="96"/>
      <c r="V36" s="96"/>
      <c r="AA36" s="110"/>
      <c r="AB36" s="118"/>
      <c r="AC36" s="109"/>
      <c r="AD36" s="109"/>
      <c r="AE36" s="109"/>
      <c r="AF36" s="109"/>
      <c r="AG36" s="110"/>
      <c r="AH36" s="101"/>
      <c r="AI36" s="96"/>
      <c r="AJ36" s="96"/>
      <c r="AK36" s="96"/>
      <c r="AL36" s="96"/>
      <c r="AQ36" s="110"/>
      <c r="AR36" s="118"/>
      <c r="AS36" s="109"/>
      <c r="AT36" s="109"/>
      <c r="AU36" s="109"/>
      <c r="AV36" s="109"/>
      <c r="AW36" s="110"/>
      <c r="AX36" s="101"/>
      <c r="AY36" s="96"/>
      <c r="AZ36" s="96"/>
      <c r="BA36" s="96"/>
      <c r="BB36" s="96"/>
      <c r="BG36" s="110"/>
      <c r="BH36" s="118"/>
      <c r="BI36" s="109"/>
      <c r="BJ36" s="109"/>
      <c r="BK36" s="109"/>
      <c r="BL36" s="109"/>
      <c r="BM36" s="110"/>
      <c r="BN36" s="101"/>
      <c r="BO36" s="96"/>
      <c r="BP36" s="96"/>
      <c r="BQ36" s="96"/>
      <c r="BR36" s="96"/>
      <c r="BW36" s="110"/>
      <c r="BX36" s="118"/>
      <c r="BY36" s="109"/>
      <c r="BZ36" s="109"/>
      <c r="CA36" s="109"/>
      <c r="CB36" s="109"/>
      <c r="CC36" s="110"/>
      <c r="CD36" s="101"/>
      <c r="CE36" s="96"/>
      <c r="CF36" s="96"/>
      <c r="CG36" s="96"/>
      <c r="CH36" s="96"/>
      <c r="CM36" s="110"/>
      <c r="CN36" s="118"/>
      <c r="CO36" s="109"/>
      <c r="CP36" s="109"/>
      <c r="CQ36" s="109"/>
      <c r="CR36" s="109"/>
      <c r="CS36" s="110"/>
      <c r="CT36" s="101"/>
      <c r="CU36" s="96"/>
      <c r="CV36" s="96"/>
      <c r="CW36" s="96"/>
      <c r="CX36" s="96"/>
      <c r="DC36" s="110"/>
      <c r="DD36" s="118"/>
      <c r="DE36" s="109"/>
      <c r="DF36" s="109"/>
      <c r="DG36" s="109"/>
      <c r="DH36" s="109"/>
      <c r="DI36" s="110"/>
      <c r="DJ36" s="101"/>
      <c r="DK36" s="96"/>
      <c r="DL36" s="96"/>
      <c r="DM36" s="96"/>
      <c r="DN36" s="96"/>
      <c r="DS36" s="110"/>
      <c r="DT36" s="118"/>
      <c r="DU36" s="109"/>
      <c r="DV36" s="109"/>
      <c r="DW36" s="109"/>
      <c r="DX36" s="109"/>
      <c r="DY36" s="110"/>
      <c r="DZ36" s="101"/>
      <c r="EA36" s="96"/>
      <c r="EB36" s="96"/>
      <c r="EC36" s="96"/>
      <c r="ED36" s="96"/>
      <c r="EI36" s="110"/>
      <c r="EJ36" s="118"/>
      <c r="EK36" s="109"/>
      <c r="EL36" s="109"/>
      <c r="EM36" s="109"/>
      <c r="EN36" s="109"/>
      <c r="EO36" s="110"/>
      <c r="EP36" s="101"/>
      <c r="EQ36" s="96"/>
      <c r="ER36" s="96"/>
      <c r="ES36" s="96"/>
      <c r="ET36" s="96"/>
      <c r="EY36" s="110"/>
      <c r="EZ36" s="118"/>
      <c r="FA36" s="109"/>
      <c r="FB36" s="109"/>
      <c r="FC36" s="109"/>
      <c r="FD36" s="109"/>
      <c r="FE36" s="110"/>
      <c r="FF36" s="101"/>
      <c r="FG36" s="96"/>
      <c r="FH36" s="96"/>
      <c r="FI36" s="96"/>
      <c r="FJ36" s="96"/>
      <c r="FO36" s="110"/>
      <c r="FP36" s="118"/>
      <c r="FQ36" s="109"/>
      <c r="FR36" s="109"/>
      <c r="FS36" s="109"/>
      <c r="FT36" s="109"/>
      <c r="FU36" s="110"/>
      <c r="FV36" s="101"/>
      <c r="FW36" s="96"/>
      <c r="FX36" s="96"/>
      <c r="FY36" s="96"/>
      <c r="FZ36" s="96"/>
      <c r="GE36" s="110"/>
      <c r="GF36" s="118"/>
      <c r="GG36" s="109"/>
      <c r="GH36" s="109"/>
      <c r="GI36" s="109"/>
      <c r="GJ36" s="109"/>
      <c r="GK36" s="110"/>
      <c r="GL36" s="101"/>
      <c r="GM36" s="96"/>
      <c r="GN36" s="96"/>
      <c r="GO36" s="96"/>
      <c r="GP36" s="96"/>
      <c r="GU36" s="110"/>
      <c r="GV36" s="118"/>
      <c r="GW36" s="109"/>
      <c r="GX36" s="109"/>
      <c r="GY36" s="109"/>
      <c r="GZ36" s="109"/>
      <c r="HA36" s="110"/>
      <c r="HB36" s="101"/>
      <c r="HC36" s="96"/>
      <c r="HD36" s="96"/>
      <c r="HE36" s="96"/>
      <c r="HF36" s="96"/>
      <c r="HK36" s="110"/>
      <c r="HL36" s="118"/>
      <c r="HM36" s="109"/>
      <c r="HN36" s="109"/>
      <c r="HO36" s="109"/>
      <c r="HP36" s="109"/>
      <c r="HQ36" s="110"/>
      <c r="HR36" s="101"/>
      <c r="HS36" s="96"/>
      <c r="HT36" s="96"/>
      <c r="HU36" s="96"/>
      <c r="HV36" s="96"/>
      <c r="IA36" s="110"/>
      <c r="IB36" s="118"/>
      <c r="IC36" s="109"/>
      <c r="ID36" s="109"/>
      <c r="IE36" s="109"/>
      <c r="IF36" s="109"/>
      <c r="IG36" s="110"/>
      <c r="IH36" s="101"/>
      <c r="II36" s="96"/>
      <c r="IJ36" s="96"/>
      <c r="IK36" s="96"/>
      <c r="IL36" s="96"/>
      <c r="IQ36" s="110"/>
      <c r="IR36" s="118"/>
      <c r="IS36" s="109"/>
      <c r="IT36" s="109"/>
      <c r="IU36" s="109"/>
      <c r="IV36" s="109"/>
      <c r="IW36" s="110"/>
    </row>
    <row r="37" spans="1:257" s="82" customFormat="1" ht="52.5" customHeight="1" x14ac:dyDescent="0.25">
      <c r="A37" s="342" t="s">
        <v>143</v>
      </c>
      <c r="B37" s="2498" t="s">
        <v>144</v>
      </c>
      <c r="C37" s="2498"/>
      <c r="D37" s="342" t="s">
        <v>300</v>
      </c>
      <c r="E37" s="343" t="s">
        <v>1287</v>
      </c>
      <c r="F37" s="343" t="s">
        <v>1288</v>
      </c>
      <c r="G37" s="267"/>
      <c r="H37" s="121"/>
      <c r="I37" s="122"/>
      <c r="J37" s="121"/>
      <c r="K37" s="121"/>
      <c r="L37" s="121"/>
      <c r="M37" s="121"/>
      <c r="N37" s="121"/>
      <c r="O37" s="121"/>
      <c r="P37" s="121"/>
      <c r="Q37" s="121"/>
      <c r="R37" s="96"/>
      <c r="S37" s="96"/>
      <c r="T37" s="96"/>
      <c r="U37" s="96"/>
      <c r="V37" s="96"/>
      <c r="AA37" s="110"/>
      <c r="AB37" s="118"/>
      <c r="AC37" s="109"/>
      <c r="AD37" s="109"/>
      <c r="AE37" s="109"/>
      <c r="AF37" s="109"/>
      <c r="AG37" s="110"/>
      <c r="AH37" s="101"/>
      <c r="AI37" s="96"/>
      <c r="AJ37" s="96"/>
      <c r="AK37" s="96"/>
      <c r="AL37" s="96"/>
      <c r="AQ37" s="110"/>
      <c r="AR37" s="118"/>
      <c r="AS37" s="109"/>
      <c r="AT37" s="109"/>
      <c r="AU37" s="109"/>
      <c r="AV37" s="109"/>
      <c r="AW37" s="110"/>
      <c r="AX37" s="101"/>
      <c r="AY37" s="96"/>
      <c r="AZ37" s="96"/>
      <c r="BA37" s="96"/>
      <c r="BB37" s="96"/>
      <c r="BG37" s="110"/>
      <c r="BH37" s="118"/>
      <c r="BI37" s="109"/>
      <c r="BJ37" s="109"/>
      <c r="BK37" s="109"/>
      <c r="BL37" s="109"/>
      <c r="BM37" s="110"/>
      <c r="BN37" s="101"/>
      <c r="BO37" s="96"/>
      <c r="BP37" s="96"/>
      <c r="BQ37" s="96"/>
      <c r="BR37" s="96"/>
      <c r="BW37" s="110"/>
      <c r="BX37" s="118"/>
      <c r="BY37" s="109"/>
      <c r="BZ37" s="109"/>
      <c r="CA37" s="109"/>
      <c r="CB37" s="109"/>
      <c r="CC37" s="110"/>
      <c r="CD37" s="101"/>
      <c r="CE37" s="96"/>
      <c r="CF37" s="96"/>
      <c r="CG37" s="96"/>
      <c r="CH37" s="96"/>
      <c r="CM37" s="110"/>
      <c r="CN37" s="118"/>
      <c r="CO37" s="109"/>
      <c r="CP37" s="109"/>
      <c r="CQ37" s="109"/>
      <c r="CR37" s="109"/>
      <c r="CS37" s="110"/>
      <c r="CT37" s="101"/>
      <c r="CU37" s="96"/>
      <c r="CV37" s="96"/>
      <c r="CW37" s="96"/>
      <c r="CX37" s="96"/>
      <c r="DC37" s="110"/>
      <c r="DD37" s="118"/>
      <c r="DE37" s="109"/>
      <c r="DF37" s="109"/>
      <c r="DG37" s="109"/>
      <c r="DH37" s="109"/>
      <c r="DI37" s="110"/>
      <c r="DJ37" s="101"/>
      <c r="DK37" s="96"/>
      <c r="DL37" s="96"/>
      <c r="DM37" s="96"/>
      <c r="DN37" s="96"/>
      <c r="DS37" s="110"/>
      <c r="DT37" s="118"/>
      <c r="DU37" s="109"/>
      <c r="DV37" s="109"/>
      <c r="DW37" s="109"/>
      <c r="DX37" s="109"/>
      <c r="DY37" s="110"/>
      <c r="DZ37" s="101"/>
      <c r="EA37" s="96"/>
      <c r="EB37" s="96"/>
      <c r="EC37" s="96"/>
      <c r="ED37" s="96"/>
      <c r="EI37" s="110"/>
      <c r="EJ37" s="118"/>
      <c r="EK37" s="109"/>
      <c r="EL37" s="109"/>
      <c r="EM37" s="109"/>
      <c r="EN37" s="109"/>
      <c r="EO37" s="110"/>
      <c r="EP37" s="101"/>
      <c r="EQ37" s="96"/>
      <c r="ER37" s="96"/>
      <c r="ES37" s="96"/>
      <c r="ET37" s="96"/>
      <c r="EY37" s="110"/>
      <c r="EZ37" s="118"/>
      <c r="FA37" s="109"/>
      <c r="FB37" s="109"/>
      <c r="FC37" s="109"/>
      <c r="FD37" s="109"/>
      <c r="FE37" s="110"/>
      <c r="FF37" s="101"/>
      <c r="FG37" s="96"/>
      <c r="FH37" s="96"/>
      <c r="FI37" s="96"/>
      <c r="FJ37" s="96"/>
      <c r="FO37" s="110"/>
      <c r="FP37" s="118"/>
      <c r="FQ37" s="109"/>
      <c r="FR37" s="109"/>
      <c r="FS37" s="109"/>
      <c r="FT37" s="109"/>
      <c r="FU37" s="110"/>
      <c r="FV37" s="101"/>
      <c r="FW37" s="96"/>
      <c r="FX37" s="96"/>
      <c r="FY37" s="96"/>
      <c r="FZ37" s="96"/>
      <c r="GE37" s="110"/>
      <c r="GF37" s="118"/>
      <c r="GG37" s="109"/>
      <c r="GH37" s="109"/>
      <c r="GI37" s="109"/>
      <c r="GJ37" s="109"/>
      <c r="GK37" s="110"/>
      <c r="GL37" s="101"/>
      <c r="GM37" s="96"/>
      <c r="GN37" s="96"/>
      <c r="GO37" s="96"/>
      <c r="GP37" s="96"/>
      <c r="GU37" s="110"/>
      <c r="GV37" s="118"/>
      <c r="GW37" s="109"/>
      <c r="GX37" s="109"/>
      <c r="GY37" s="109"/>
      <c r="GZ37" s="109"/>
      <c r="HA37" s="110"/>
      <c r="HB37" s="101"/>
      <c r="HC37" s="96"/>
      <c r="HD37" s="96"/>
      <c r="HE37" s="96"/>
      <c r="HF37" s="96"/>
      <c r="HK37" s="110"/>
      <c r="HL37" s="118"/>
      <c r="HM37" s="109"/>
      <c r="HN37" s="109"/>
      <c r="HO37" s="109"/>
      <c r="HP37" s="109"/>
      <c r="HQ37" s="110"/>
      <c r="HR37" s="101"/>
      <c r="HS37" s="96"/>
      <c r="HT37" s="96"/>
      <c r="HU37" s="96"/>
      <c r="HV37" s="96"/>
      <c r="IA37" s="110"/>
      <c r="IB37" s="118"/>
      <c r="IC37" s="109"/>
      <c r="ID37" s="109"/>
      <c r="IE37" s="109"/>
      <c r="IF37" s="109"/>
      <c r="IG37" s="110"/>
      <c r="IH37" s="101"/>
      <c r="II37" s="96"/>
      <c r="IJ37" s="96"/>
      <c r="IK37" s="96"/>
      <c r="IL37" s="96"/>
      <c r="IQ37" s="110"/>
      <c r="IR37" s="118"/>
      <c r="IS37" s="109"/>
      <c r="IT37" s="109"/>
      <c r="IU37" s="109"/>
      <c r="IV37" s="109"/>
      <c r="IW37" s="110"/>
    </row>
    <row r="38" spans="1:257" s="82" customFormat="1" ht="28.5" customHeight="1" x14ac:dyDescent="0.25">
      <c r="A38" s="2499" t="s">
        <v>567</v>
      </c>
      <c r="B38" s="2483" t="s">
        <v>575</v>
      </c>
      <c r="C38" s="358" t="s">
        <v>577</v>
      </c>
      <c r="D38" s="359">
        <v>0.6</v>
      </c>
      <c r="E38" s="411">
        <f>'Objetivo 1(Encuestas)'!L4</f>
        <v>0.81</v>
      </c>
      <c r="F38" s="411">
        <f>'Objetivo 1(Encuestas)'!L4</f>
        <v>0.81</v>
      </c>
      <c r="G38" s="62"/>
      <c r="H38" s="121">
        <f>AVERAGE(E38:E40)</f>
        <v>0.9275888888888888</v>
      </c>
      <c r="I38" s="121">
        <f>AVERAGE(F38:F40)</f>
        <v>0.92646491228070182</v>
      </c>
      <c r="J38" s="1497">
        <f>AVERAGE(H38:I38)</f>
        <v>0.92702690058479531</v>
      </c>
      <c r="K38" s="121"/>
      <c r="L38" s="121"/>
      <c r="M38" s="121"/>
      <c r="N38" s="121"/>
      <c r="O38" s="121"/>
      <c r="P38" s="121"/>
      <c r="Q38" s="121"/>
      <c r="R38" s="96"/>
      <c r="S38" s="96"/>
      <c r="T38" s="96"/>
      <c r="U38" s="96"/>
      <c r="V38" s="96"/>
      <c r="AA38" s="110"/>
      <c r="AB38" s="118"/>
      <c r="AC38" s="109"/>
      <c r="AD38" s="109"/>
      <c r="AE38" s="109"/>
      <c r="AF38" s="109"/>
      <c r="AG38" s="110"/>
      <c r="AH38" s="101"/>
      <c r="AI38" s="96"/>
      <c r="AJ38" s="96"/>
      <c r="AK38" s="96"/>
      <c r="AL38" s="96"/>
      <c r="AQ38" s="110"/>
      <c r="AR38" s="118"/>
      <c r="AS38" s="109"/>
      <c r="AT38" s="109"/>
      <c r="AU38" s="109"/>
      <c r="AV38" s="109"/>
      <c r="AW38" s="110"/>
      <c r="AX38" s="101"/>
      <c r="AY38" s="96"/>
      <c r="AZ38" s="96"/>
      <c r="BA38" s="96"/>
      <c r="BB38" s="96"/>
      <c r="BG38" s="110"/>
      <c r="BH38" s="118"/>
      <c r="BI38" s="109"/>
      <c r="BJ38" s="109"/>
      <c r="BK38" s="109"/>
      <c r="BL38" s="109"/>
      <c r="BM38" s="110"/>
      <c r="BN38" s="101"/>
      <c r="BO38" s="96"/>
      <c r="BP38" s="96"/>
      <c r="BQ38" s="96"/>
      <c r="BR38" s="96"/>
      <c r="BW38" s="110"/>
      <c r="BX38" s="118"/>
      <c r="BY38" s="109"/>
      <c r="BZ38" s="109"/>
      <c r="CA38" s="109"/>
      <c r="CB38" s="109"/>
      <c r="CC38" s="110"/>
      <c r="CD38" s="101"/>
      <c r="CE38" s="96"/>
      <c r="CF38" s="96"/>
      <c r="CG38" s="96"/>
      <c r="CH38" s="96"/>
      <c r="CM38" s="110"/>
      <c r="CN38" s="118"/>
      <c r="CO38" s="109"/>
      <c r="CP38" s="109"/>
      <c r="CQ38" s="109"/>
      <c r="CR38" s="109"/>
      <c r="CS38" s="110"/>
      <c r="CT38" s="101"/>
      <c r="CU38" s="96"/>
      <c r="CV38" s="96"/>
      <c r="CW38" s="96"/>
      <c r="CX38" s="96"/>
      <c r="DC38" s="110"/>
      <c r="DD38" s="118"/>
      <c r="DE38" s="109"/>
      <c r="DF38" s="109"/>
      <c r="DG38" s="109"/>
      <c r="DH38" s="109"/>
      <c r="DI38" s="110"/>
      <c r="DJ38" s="101"/>
      <c r="DK38" s="96"/>
      <c r="DL38" s="96"/>
      <c r="DM38" s="96"/>
      <c r="DN38" s="96"/>
      <c r="DS38" s="110"/>
      <c r="DT38" s="118"/>
      <c r="DU38" s="109"/>
      <c r="DV38" s="109"/>
      <c r="DW38" s="109"/>
      <c r="DX38" s="109"/>
      <c r="DY38" s="110"/>
      <c r="DZ38" s="101"/>
      <c r="EA38" s="96"/>
      <c r="EB38" s="96"/>
      <c r="EC38" s="96"/>
      <c r="ED38" s="96"/>
      <c r="EI38" s="110"/>
      <c r="EJ38" s="118"/>
      <c r="EK38" s="109"/>
      <c r="EL38" s="109"/>
      <c r="EM38" s="109"/>
      <c r="EN38" s="109"/>
      <c r="EO38" s="110"/>
      <c r="EP38" s="101"/>
      <c r="EQ38" s="96"/>
      <c r="ER38" s="96"/>
      <c r="ES38" s="96"/>
      <c r="ET38" s="96"/>
      <c r="EY38" s="110"/>
      <c r="EZ38" s="118"/>
      <c r="FA38" s="109"/>
      <c r="FB38" s="109"/>
      <c r="FC38" s="109"/>
      <c r="FD38" s="109"/>
      <c r="FE38" s="110"/>
      <c r="FF38" s="101"/>
      <c r="FG38" s="96"/>
      <c r="FH38" s="96"/>
      <c r="FI38" s="96"/>
      <c r="FJ38" s="96"/>
      <c r="FO38" s="110"/>
      <c r="FP38" s="118"/>
      <c r="FQ38" s="109"/>
      <c r="FR38" s="109"/>
      <c r="FS38" s="109"/>
      <c r="FT38" s="109"/>
      <c r="FU38" s="110"/>
      <c r="FV38" s="101"/>
      <c r="FW38" s="96"/>
      <c r="FX38" s="96"/>
      <c r="FY38" s="96"/>
      <c r="FZ38" s="96"/>
      <c r="GE38" s="110"/>
      <c r="GF38" s="118"/>
      <c r="GG38" s="109"/>
      <c r="GH38" s="109"/>
      <c r="GI38" s="109"/>
      <c r="GJ38" s="109"/>
      <c r="GK38" s="110"/>
      <c r="GL38" s="101"/>
      <c r="GM38" s="96"/>
      <c r="GN38" s="96"/>
      <c r="GO38" s="96"/>
      <c r="GP38" s="96"/>
      <c r="GU38" s="110"/>
      <c r="GV38" s="118"/>
      <c r="GW38" s="109"/>
      <c r="GX38" s="109"/>
      <c r="GY38" s="109"/>
      <c r="GZ38" s="109"/>
      <c r="HA38" s="110"/>
      <c r="HB38" s="101"/>
      <c r="HC38" s="96"/>
      <c r="HD38" s="96"/>
      <c r="HE38" s="96"/>
      <c r="HF38" s="96"/>
      <c r="HK38" s="110"/>
      <c r="HL38" s="118"/>
      <c r="HM38" s="109"/>
      <c r="HN38" s="109"/>
      <c r="HO38" s="109"/>
      <c r="HP38" s="109"/>
      <c r="HQ38" s="110"/>
      <c r="HR38" s="101"/>
      <c r="HS38" s="96"/>
      <c r="HT38" s="96"/>
      <c r="HU38" s="96"/>
      <c r="HV38" s="96"/>
      <c r="IA38" s="110"/>
      <c r="IB38" s="118"/>
      <c r="IC38" s="109"/>
      <c r="ID38" s="109"/>
      <c r="IE38" s="109"/>
      <c r="IF38" s="109"/>
      <c r="IG38" s="110"/>
      <c r="IH38" s="101"/>
      <c r="II38" s="96"/>
      <c r="IJ38" s="96"/>
      <c r="IK38" s="96"/>
      <c r="IL38" s="96"/>
      <c r="IQ38" s="110"/>
      <c r="IR38" s="118"/>
      <c r="IS38" s="109"/>
      <c r="IT38" s="109"/>
      <c r="IU38" s="109"/>
      <c r="IV38" s="109"/>
      <c r="IW38" s="110"/>
    </row>
    <row r="39" spans="1:257" s="82" customFormat="1" ht="24" customHeight="1" x14ac:dyDescent="0.25">
      <c r="A39" s="2499"/>
      <c r="B39" s="2483"/>
      <c r="C39" s="358" t="s">
        <v>58</v>
      </c>
      <c r="D39" s="359">
        <v>0.2</v>
      </c>
      <c r="E39" s="411">
        <f>'Objetivo 1(Quejas)'!K21</f>
        <v>1</v>
      </c>
      <c r="F39" s="411">
        <f>'Objetivo 1(Quejas)'!N21</f>
        <v>1</v>
      </c>
      <c r="G39" s="268"/>
      <c r="H39" s="121"/>
      <c r="I39" s="122"/>
      <c r="J39" s="121"/>
      <c r="K39" s="121"/>
      <c r="L39" s="121"/>
      <c r="M39" s="121"/>
      <c r="N39" s="121"/>
      <c r="O39" s="121"/>
      <c r="P39" s="121"/>
      <c r="Q39" s="121"/>
      <c r="R39" s="96"/>
      <c r="S39" s="96"/>
      <c r="T39" s="96"/>
      <c r="U39" s="96"/>
      <c r="V39" s="96"/>
      <c r="AA39" s="110"/>
      <c r="AB39" s="118"/>
      <c r="AC39" s="109"/>
      <c r="AD39" s="109"/>
      <c r="AE39" s="109"/>
      <c r="AF39" s="109"/>
      <c r="AG39" s="110"/>
      <c r="AH39" s="101"/>
      <c r="AI39" s="96"/>
      <c r="AJ39" s="96"/>
      <c r="AK39" s="96"/>
      <c r="AL39" s="96"/>
      <c r="AQ39" s="110"/>
      <c r="AR39" s="118"/>
      <c r="AS39" s="109"/>
      <c r="AT39" s="109"/>
      <c r="AU39" s="109"/>
      <c r="AV39" s="109"/>
      <c r="AW39" s="110"/>
      <c r="AX39" s="101"/>
      <c r="AY39" s="96"/>
      <c r="AZ39" s="96"/>
      <c r="BA39" s="96"/>
      <c r="BB39" s="96"/>
      <c r="BG39" s="110"/>
      <c r="BH39" s="118"/>
      <c r="BI39" s="109"/>
      <c r="BJ39" s="109"/>
      <c r="BK39" s="109"/>
      <c r="BL39" s="109"/>
      <c r="BM39" s="110"/>
      <c r="BN39" s="101"/>
      <c r="BO39" s="96"/>
      <c r="BP39" s="96"/>
      <c r="BQ39" s="96"/>
      <c r="BR39" s="96"/>
      <c r="BW39" s="110"/>
      <c r="BX39" s="118"/>
      <c r="BY39" s="109"/>
      <c r="BZ39" s="109"/>
      <c r="CA39" s="109"/>
      <c r="CB39" s="109"/>
      <c r="CC39" s="110"/>
      <c r="CD39" s="101"/>
      <c r="CE39" s="96"/>
      <c r="CF39" s="96"/>
      <c r="CG39" s="96"/>
      <c r="CH39" s="96"/>
      <c r="CM39" s="110"/>
      <c r="CN39" s="118"/>
      <c r="CO39" s="109"/>
      <c r="CP39" s="109"/>
      <c r="CQ39" s="109"/>
      <c r="CR39" s="109"/>
      <c r="CS39" s="110"/>
      <c r="CT39" s="101"/>
      <c r="CU39" s="96"/>
      <c r="CV39" s="96"/>
      <c r="CW39" s="96"/>
      <c r="CX39" s="96"/>
      <c r="DC39" s="110"/>
      <c r="DD39" s="118"/>
      <c r="DE39" s="109"/>
      <c r="DF39" s="109"/>
      <c r="DG39" s="109"/>
      <c r="DH39" s="109"/>
      <c r="DI39" s="110"/>
      <c r="DJ39" s="101"/>
      <c r="DK39" s="96"/>
      <c r="DL39" s="96"/>
      <c r="DM39" s="96"/>
      <c r="DN39" s="96"/>
      <c r="DS39" s="110"/>
      <c r="DT39" s="118"/>
      <c r="DU39" s="109"/>
      <c r="DV39" s="109"/>
      <c r="DW39" s="109"/>
      <c r="DX39" s="109"/>
      <c r="DY39" s="110"/>
      <c r="DZ39" s="101"/>
      <c r="EA39" s="96"/>
      <c r="EB39" s="96"/>
      <c r="EC39" s="96"/>
      <c r="ED39" s="96"/>
      <c r="EI39" s="110"/>
      <c r="EJ39" s="118"/>
      <c r="EK39" s="109"/>
      <c r="EL39" s="109"/>
      <c r="EM39" s="109"/>
      <c r="EN39" s="109"/>
      <c r="EO39" s="110"/>
      <c r="EP39" s="101"/>
      <c r="EQ39" s="96"/>
      <c r="ER39" s="96"/>
      <c r="ES39" s="96"/>
      <c r="ET39" s="96"/>
      <c r="EY39" s="110"/>
      <c r="EZ39" s="118"/>
      <c r="FA39" s="109"/>
      <c r="FB39" s="109"/>
      <c r="FC39" s="109"/>
      <c r="FD39" s="109"/>
      <c r="FE39" s="110"/>
      <c r="FF39" s="101"/>
      <c r="FG39" s="96"/>
      <c r="FH39" s="96"/>
      <c r="FI39" s="96"/>
      <c r="FJ39" s="96"/>
      <c r="FO39" s="110"/>
      <c r="FP39" s="118"/>
      <c r="FQ39" s="109"/>
      <c r="FR39" s="109"/>
      <c r="FS39" s="109"/>
      <c r="FT39" s="109"/>
      <c r="FU39" s="110"/>
      <c r="FV39" s="101"/>
      <c r="FW39" s="96"/>
      <c r="FX39" s="96"/>
      <c r="FY39" s="96"/>
      <c r="FZ39" s="96"/>
      <c r="GE39" s="110"/>
      <c r="GF39" s="118"/>
      <c r="GG39" s="109"/>
      <c r="GH39" s="109"/>
      <c r="GI39" s="109"/>
      <c r="GJ39" s="109"/>
      <c r="GK39" s="110"/>
      <c r="GL39" s="101"/>
      <c r="GM39" s="96"/>
      <c r="GN39" s="96"/>
      <c r="GO39" s="96"/>
      <c r="GP39" s="96"/>
      <c r="GU39" s="110"/>
      <c r="GV39" s="118"/>
      <c r="GW39" s="109"/>
      <c r="GX39" s="109"/>
      <c r="GY39" s="109"/>
      <c r="GZ39" s="109"/>
      <c r="HA39" s="110"/>
      <c r="HB39" s="101"/>
      <c r="HC39" s="96"/>
      <c r="HD39" s="96"/>
      <c r="HE39" s="96"/>
      <c r="HF39" s="96"/>
      <c r="HK39" s="110"/>
      <c r="HL39" s="118"/>
      <c r="HM39" s="109"/>
      <c r="HN39" s="109"/>
      <c r="HO39" s="109"/>
      <c r="HP39" s="109"/>
      <c r="HQ39" s="110"/>
      <c r="HR39" s="101"/>
      <c r="HS39" s="96"/>
      <c r="HT39" s="96"/>
      <c r="HU39" s="96"/>
      <c r="HV39" s="96"/>
      <c r="IA39" s="110"/>
      <c r="IB39" s="118"/>
      <c r="IC39" s="109"/>
      <c r="ID39" s="109"/>
      <c r="IE39" s="109"/>
      <c r="IF39" s="109"/>
      <c r="IG39" s="110"/>
      <c r="IH39" s="101"/>
      <c r="II39" s="96"/>
      <c r="IJ39" s="96"/>
      <c r="IK39" s="96"/>
      <c r="IL39" s="96"/>
      <c r="IQ39" s="110"/>
      <c r="IR39" s="118"/>
      <c r="IS39" s="109"/>
      <c r="IT39" s="109"/>
      <c r="IU39" s="109"/>
      <c r="IV39" s="109"/>
      <c r="IW39" s="110"/>
    </row>
    <row r="40" spans="1:257" s="82" customFormat="1" ht="49.5" customHeight="1" x14ac:dyDescent="0.25">
      <c r="A40" s="2499"/>
      <c r="B40" s="2483"/>
      <c r="C40" s="360" t="s">
        <v>576</v>
      </c>
      <c r="D40" s="359">
        <v>0.2</v>
      </c>
      <c r="E40" s="411">
        <f>'Objetivo 1(Calif. ss)'!S4</f>
        <v>0.97276666666666656</v>
      </c>
      <c r="F40" s="411">
        <f>'Objetivo 1(Calif. ss)'!T4</f>
        <v>0.96939473684210531</v>
      </c>
      <c r="G40" s="268"/>
      <c r="H40" s="121"/>
      <c r="I40" s="122"/>
      <c r="J40" s="121"/>
      <c r="K40" s="121"/>
      <c r="L40" s="121"/>
      <c r="M40" s="121"/>
      <c r="N40" s="121"/>
      <c r="O40" s="121"/>
      <c r="P40" s="121"/>
      <c r="Q40" s="121"/>
      <c r="R40" s="96"/>
      <c r="S40" s="96"/>
      <c r="T40" s="96"/>
      <c r="U40" s="96"/>
      <c r="V40" s="96"/>
      <c r="AA40" s="110"/>
      <c r="AB40" s="118"/>
      <c r="AC40" s="109"/>
      <c r="AD40" s="109"/>
      <c r="AE40" s="109"/>
      <c r="AF40" s="109"/>
      <c r="AG40" s="110"/>
      <c r="AH40" s="101"/>
      <c r="AI40" s="96"/>
      <c r="AJ40" s="96"/>
      <c r="AK40" s="96"/>
      <c r="AL40" s="96"/>
      <c r="AQ40" s="110"/>
      <c r="AR40" s="118"/>
      <c r="AS40" s="109"/>
      <c r="AT40" s="109"/>
      <c r="AU40" s="109"/>
      <c r="AV40" s="109"/>
      <c r="AW40" s="110"/>
      <c r="AX40" s="101"/>
      <c r="AY40" s="96"/>
      <c r="AZ40" s="96"/>
      <c r="BA40" s="96"/>
      <c r="BB40" s="96"/>
      <c r="BG40" s="110"/>
      <c r="BH40" s="118"/>
      <c r="BI40" s="109"/>
      <c r="BJ40" s="109"/>
      <c r="BK40" s="109"/>
      <c r="BL40" s="109"/>
      <c r="BM40" s="110"/>
      <c r="BN40" s="101"/>
      <c r="BO40" s="96"/>
      <c r="BP40" s="96"/>
      <c r="BQ40" s="96"/>
      <c r="BR40" s="96"/>
      <c r="BW40" s="110"/>
      <c r="BX40" s="118"/>
      <c r="BY40" s="109"/>
      <c r="BZ40" s="109"/>
      <c r="CA40" s="109"/>
      <c r="CB40" s="109"/>
      <c r="CC40" s="110"/>
      <c r="CD40" s="101"/>
      <c r="CE40" s="96"/>
      <c r="CF40" s="96"/>
      <c r="CG40" s="96"/>
      <c r="CH40" s="96"/>
      <c r="CM40" s="110"/>
      <c r="CN40" s="118"/>
      <c r="CO40" s="109"/>
      <c r="CP40" s="109"/>
      <c r="CQ40" s="109"/>
      <c r="CR40" s="109"/>
      <c r="CS40" s="110"/>
      <c r="CT40" s="101"/>
      <c r="CU40" s="96"/>
      <c r="CV40" s="96"/>
      <c r="CW40" s="96"/>
      <c r="CX40" s="96"/>
      <c r="DC40" s="110"/>
      <c r="DD40" s="118"/>
      <c r="DE40" s="109"/>
      <c r="DF40" s="109"/>
      <c r="DG40" s="109"/>
      <c r="DH40" s="109"/>
      <c r="DI40" s="110"/>
      <c r="DJ40" s="101"/>
      <c r="DK40" s="96"/>
      <c r="DL40" s="96"/>
      <c r="DM40" s="96"/>
      <c r="DN40" s="96"/>
      <c r="DS40" s="110"/>
      <c r="DT40" s="118"/>
      <c r="DU40" s="109"/>
      <c r="DV40" s="109"/>
      <c r="DW40" s="109"/>
      <c r="DX40" s="109"/>
      <c r="DY40" s="110"/>
      <c r="DZ40" s="101"/>
      <c r="EA40" s="96"/>
      <c r="EB40" s="96"/>
      <c r="EC40" s="96"/>
      <c r="ED40" s="96"/>
      <c r="EI40" s="110"/>
      <c r="EJ40" s="118"/>
      <c r="EK40" s="109"/>
      <c r="EL40" s="109"/>
      <c r="EM40" s="109"/>
      <c r="EN40" s="109"/>
      <c r="EO40" s="110"/>
      <c r="EP40" s="101"/>
      <c r="EQ40" s="96"/>
      <c r="ER40" s="96"/>
      <c r="ES40" s="96"/>
      <c r="ET40" s="96"/>
      <c r="EY40" s="110"/>
      <c r="EZ40" s="118"/>
      <c r="FA40" s="109"/>
      <c r="FB40" s="109"/>
      <c r="FC40" s="109"/>
      <c r="FD40" s="109"/>
      <c r="FE40" s="110"/>
      <c r="FF40" s="101"/>
      <c r="FG40" s="96"/>
      <c r="FH40" s="96"/>
      <c r="FI40" s="96"/>
      <c r="FJ40" s="96"/>
      <c r="FO40" s="110"/>
      <c r="FP40" s="118"/>
      <c r="FQ40" s="109"/>
      <c r="FR40" s="109"/>
      <c r="FS40" s="109"/>
      <c r="FT40" s="109"/>
      <c r="FU40" s="110"/>
      <c r="FV40" s="101"/>
      <c r="FW40" s="96"/>
      <c r="FX40" s="96"/>
      <c r="FY40" s="96"/>
      <c r="FZ40" s="96"/>
      <c r="GE40" s="110"/>
      <c r="GF40" s="118"/>
      <c r="GG40" s="109"/>
      <c r="GH40" s="109"/>
      <c r="GI40" s="109"/>
      <c r="GJ40" s="109"/>
      <c r="GK40" s="110"/>
      <c r="GL40" s="101"/>
      <c r="GM40" s="96"/>
      <c r="GN40" s="96"/>
      <c r="GO40" s="96"/>
      <c r="GP40" s="96"/>
      <c r="GU40" s="110"/>
      <c r="GV40" s="118"/>
      <c r="GW40" s="109"/>
      <c r="GX40" s="109"/>
      <c r="GY40" s="109"/>
      <c r="GZ40" s="109"/>
      <c r="HA40" s="110"/>
      <c r="HB40" s="101"/>
      <c r="HC40" s="96"/>
      <c r="HD40" s="96"/>
      <c r="HE40" s="96"/>
      <c r="HF40" s="96"/>
      <c r="HK40" s="110"/>
      <c r="HL40" s="118"/>
      <c r="HM40" s="109"/>
      <c r="HN40" s="109"/>
      <c r="HO40" s="109"/>
      <c r="HP40" s="109"/>
      <c r="HQ40" s="110"/>
      <c r="HR40" s="101"/>
      <c r="HS40" s="96"/>
      <c r="HT40" s="96"/>
      <c r="HU40" s="96"/>
      <c r="HV40" s="96"/>
      <c r="IA40" s="110"/>
      <c r="IB40" s="118"/>
      <c r="IC40" s="109"/>
      <c r="ID40" s="109"/>
      <c r="IE40" s="109"/>
      <c r="IF40" s="109"/>
      <c r="IG40" s="110"/>
      <c r="IH40" s="101"/>
      <c r="II40" s="96"/>
      <c r="IJ40" s="96"/>
      <c r="IK40" s="96"/>
      <c r="IL40" s="96"/>
      <c r="IQ40" s="110"/>
      <c r="IR40" s="118"/>
      <c r="IS40" s="109"/>
      <c r="IT40" s="109"/>
      <c r="IU40" s="109"/>
      <c r="IV40" s="109"/>
      <c r="IW40" s="110"/>
    </row>
    <row r="41" spans="1:257" s="82" customFormat="1" ht="91.5" customHeight="1" x14ac:dyDescent="0.25">
      <c r="A41" s="361" t="s">
        <v>569</v>
      </c>
      <c r="B41" s="2483" t="s">
        <v>571</v>
      </c>
      <c r="C41" s="2483"/>
      <c r="D41" s="359">
        <v>0.3</v>
      </c>
      <c r="E41" s="411">
        <f>'Objetivo 2 '!AC33</f>
        <v>0.88888888888888884</v>
      </c>
      <c r="F41" s="411">
        <f>'Objetivo 1(Calif. ss)'!T4</f>
        <v>0.96939473684210531</v>
      </c>
      <c r="G41" s="268"/>
      <c r="H41" s="121"/>
      <c r="I41" s="122"/>
      <c r="J41" s="121"/>
      <c r="K41" s="121"/>
      <c r="L41" s="121"/>
      <c r="M41" s="121"/>
      <c r="N41" s="121"/>
      <c r="O41" s="121"/>
      <c r="P41" s="121"/>
      <c r="Q41" s="121"/>
      <c r="R41" s="96"/>
      <c r="S41" s="96"/>
      <c r="T41" s="96"/>
      <c r="U41" s="96"/>
      <c r="V41" s="96"/>
      <c r="AA41" s="110"/>
      <c r="AB41" s="118"/>
      <c r="AC41" s="109"/>
      <c r="AD41" s="109"/>
      <c r="AE41" s="109"/>
      <c r="AF41" s="109"/>
      <c r="AG41" s="110"/>
      <c r="AH41" s="101"/>
      <c r="AI41" s="96"/>
      <c r="AJ41" s="96"/>
      <c r="AK41" s="96"/>
      <c r="AL41" s="96"/>
      <c r="AQ41" s="110"/>
      <c r="AR41" s="118"/>
      <c r="AS41" s="109"/>
      <c r="AT41" s="109"/>
      <c r="AU41" s="109"/>
      <c r="AV41" s="109"/>
      <c r="AW41" s="110"/>
      <c r="AX41" s="101"/>
      <c r="AY41" s="96"/>
      <c r="AZ41" s="96"/>
      <c r="BA41" s="96"/>
      <c r="BB41" s="96"/>
      <c r="BG41" s="110"/>
      <c r="BH41" s="118"/>
      <c r="BI41" s="109"/>
      <c r="BJ41" s="109"/>
      <c r="BK41" s="109"/>
      <c r="BL41" s="109"/>
      <c r="BM41" s="110"/>
      <c r="BN41" s="101"/>
      <c r="BO41" s="96"/>
      <c r="BP41" s="96"/>
      <c r="BQ41" s="96"/>
      <c r="BR41" s="96"/>
      <c r="BW41" s="110"/>
      <c r="BX41" s="118"/>
      <c r="BY41" s="109"/>
      <c r="BZ41" s="109"/>
      <c r="CA41" s="109"/>
      <c r="CB41" s="109"/>
      <c r="CC41" s="110"/>
      <c r="CD41" s="101"/>
      <c r="CE41" s="96"/>
      <c r="CF41" s="96"/>
      <c r="CG41" s="96"/>
      <c r="CH41" s="96"/>
      <c r="CM41" s="110"/>
      <c r="CN41" s="118"/>
      <c r="CO41" s="109"/>
      <c r="CP41" s="109"/>
      <c r="CQ41" s="109"/>
      <c r="CR41" s="109"/>
      <c r="CS41" s="110"/>
      <c r="CT41" s="101"/>
      <c r="CU41" s="96"/>
      <c r="CV41" s="96"/>
      <c r="CW41" s="96"/>
      <c r="CX41" s="96"/>
      <c r="DC41" s="110"/>
      <c r="DD41" s="118"/>
      <c r="DE41" s="109"/>
      <c r="DF41" s="109"/>
      <c r="DG41" s="109"/>
      <c r="DH41" s="109"/>
      <c r="DI41" s="110"/>
      <c r="DJ41" s="101"/>
      <c r="DK41" s="96"/>
      <c r="DL41" s="96"/>
      <c r="DM41" s="96"/>
      <c r="DN41" s="96"/>
      <c r="DS41" s="110"/>
      <c r="DT41" s="118"/>
      <c r="DU41" s="109"/>
      <c r="DV41" s="109"/>
      <c r="DW41" s="109"/>
      <c r="DX41" s="109"/>
      <c r="DY41" s="110"/>
      <c r="DZ41" s="101"/>
      <c r="EA41" s="96"/>
      <c r="EB41" s="96"/>
      <c r="EC41" s="96"/>
      <c r="ED41" s="96"/>
      <c r="EI41" s="110"/>
      <c r="EJ41" s="118"/>
      <c r="EK41" s="109"/>
      <c r="EL41" s="109"/>
      <c r="EM41" s="109"/>
      <c r="EN41" s="109"/>
      <c r="EO41" s="110"/>
      <c r="EP41" s="101"/>
      <c r="EQ41" s="96"/>
      <c r="ER41" s="96"/>
      <c r="ES41" s="96"/>
      <c r="ET41" s="96"/>
      <c r="EY41" s="110"/>
      <c r="EZ41" s="118"/>
      <c r="FA41" s="109"/>
      <c r="FB41" s="109"/>
      <c r="FC41" s="109"/>
      <c r="FD41" s="109"/>
      <c r="FE41" s="110"/>
      <c r="FF41" s="101"/>
      <c r="FG41" s="96"/>
      <c r="FH41" s="96"/>
      <c r="FI41" s="96"/>
      <c r="FJ41" s="96"/>
      <c r="FO41" s="110"/>
      <c r="FP41" s="118"/>
      <c r="FQ41" s="109"/>
      <c r="FR41" s="109"/>
      <c r="FS41" s="109"/>
      <c r="FT41" s="109"/>
      <c r="FU41" s="110"/>
      <c r="FV41" s="101"/>
      <c r="FW41" s="96"/>
      <c r="FX41" s="96"/>
      <c r="FY41" s="96"/>
      <c r="FZ41" s="96"/>
      <c r="GE41" s="110"/>
      <c r="GF41" s="118"/>
      <c r="GG41" s="109"/>
      <c r="GH41" s="109"/>
      <c r="GI41" s="109"/>
      <c r="GJ41" s="109"/>
      <c r="GK41" s="110"/>
      <c r="GL41" s="101"/>
      <c r="GM41" s="96"/>
      <c r="GN41" s="96"/>
      <c r="GO41" s="96"/>
      <c r="GP41" s="96"/>
      <c r="GU41" s="110"/>
      <c r="GV41" s="118"/>
      <c r="GW41" s="109"/>
      <c r="GX41" s="109"/>
      <c r="GY41" s="109"/>
      <c r="GZ41" s="109"/>
      <c r="HA41" s="110"/>
      <c r="HB41" s="101"/>
      <c r="HC41" s="96"/>
      <c r="HD41" s="96"/>
      <c r="HE41" s="96"/>
      <c r="HF41" s="96"/>
      <c r="HK41" s="110"/>
      <c r="HL41" s="118"/>
      <c r="HM41" s="109"/>
      <c r="HN41" s="109"/>
      <c r="HO41" s="109"/>
      <c r="HP41" s="109"/>
      <c r="HQ41" s="110"/>
      <c r="HR41" s="101"/>
      <c r="HS41" s="96"/>
      <c r="HT41" s="96"/>
      <c r="HU41" s="96"/>
      <c r="HV41" s="96"/>
      <c r="IA41" s="110"/>
      <c r="IB41" s="118"/>
      <c r="IC41" s="109"/>
      <c r="ID41" s="109"/>
      <c r="IE41" s="109"/>
      <c r="IF41" s="109"/>
      <c r="IG41" s="110"/>
      <c r="IH41" s="101"/>
      <c r="II41" s="96"/>
      <c r="IJ41" s="96"/>
      <c r="IK41" s="96"/>
      <c r="IL41" s="96"/>
      <c r="IQ41" s="110"/>
      <c r="IR41" s="118"/>
      <c r="IS41" s="109"/>
      <c r="IT41" s="109"/>
      <c r="IU41" s="109"/>
      <c r="IV41" s="109"/>
      <c r="IW41" s="110"/>
    </row>
    <row r="42" spans="1:257" s="82" customFormat="1" ht="69.75" customHeight="1" x14ac:dyDescent="0.25">
      <c r="A42" s="361" t="s">
        <v>574</v>
      </c>
      <c r="B42" s="2483" t="s">
        <v>579</v>
      </c>
      <c r="C42" s="2483"/>
      <c r="D42" s="359">
        <v>0.3</v>
      </c>
      <c r="E42" s="411">
        <f>'Objetivo 3 '!AD95</f>
        <v>0.93569062499999989</v>
      </c>
      <c r="F42" s="411">
        <f>'Objetivo 3 '!AE95</f>
        <v>0.94826435897435912</v>
      </c>
      <c r="G42" s="268"/>
      <c r="H42" s="121"/>
      <c r="I42" s="122"/>
      <c r="J42" s="121"/>
      <c r="K42" s="121"/>
      <c r="L42" s="121"/>
      <c r="M42" s="121"/>
      <c r="N42" s="121"/>
      <c r="O42" s="121"/>
      <c r="P42" s="121"/>
      <c r="Q42" s="121"/>
      <c r="R42" s="96"/>
      <c r="S42" s="96"/>
      <c r="T42" s="96"/>
      <c r="U42" s="96"/>
      <c r="V42" s="96"/>
      <c r="AA42" s="110"/>
      <c r="AB42" s="118"/>
      <c r="AC42" s="109"/>
      <c r="AD42" s="109"/>
      <c r="AE42" s="109"/>
      <c r="AF42" s="109"/>
      <c r="AG42" s="110"/>
      <c r="AH42" s="101"/>
      <c r="AI42" s="96"/>
      <c r="AJ42" s="96"/>
      <c r="AK42" s="96"/>
      <c r="AL42" s="96"/>
      <c r="AQ42" s="110"/>
      <c r="AR42" s="118"/>
      <c r="AS42" s="109"/>
      <c r="AT42" s="109"/>
      <c r="AU42" s="109"/>
      <c r="AV42" s="109"/>
      <c r="AW42" s="110"/>
      <c r="AX42" s="101"/>
      <c r="AY42" s="96"/>
      <c r="AZ42" s="96"/>
      <c r="BA42" s="96"/>
      <c r="BB42" s="96"/>
      <c r="BG42" s="110"/>
      <c r="BH42" s="118"/>
      <c r="BI42" s="109"/>
      <c r="BJ42" s="109"/>
      <c r="BK42" s="109"/>
      <c r="BL42" s="109"/>
      <c r="BM42" s="110"/>
      <c r="BN42" s="101"/>
      <c r="BO42" s="96"/>
      <c r="BP42" s="96"/>
      <c r="BQ42" s="96"/>
      <c r="BR42" s="96"/>
      <c r="BW42" s="110"/>
      <c r="BX42" s="118"/>
      <c r="BY42" s="109"/>
      <c r="BZ42" s="109"/>
      <c r="CA42" s="109"/>
      <c r="CB42" s="109"/>
      <c r="CC42" s="110"/>
      <c r="CD42" s="101"/>
      <c r="CE42" s="96"/>
      <c r="CF42" s="96"/>
      <c r="CG42" s="96"/>
      <c r="CH42" s="96"/>
      <c r="CM42" s="110"/>
      <c r="CN42" s="118"/>
      <c r="CO42" s="109"/>
      <c r="CP42" s="109"/>
      <c r="CQ42" s="109"/>
      <c r="CR42" s="109"/>
      <c r="CS42" s="110"/>
      <c r="CT42" s="101"/>
      <c r="CU42" s="96"/>
      <c r="CV42" s="96"/>
      <c r="CW42" s="96"/>
      <c r="CX42" s="96"/>
      <c r="DC42" s="110"/>
      <c r="DD42" s="118"/>
      <c r="DE42" s="109"/>
      <c r="DF42" s="109"/>
      <c r="DG42" s="109"/>
      <c r="DH42" s="109"/>
      <c r="DI42" s="110"/>
      <c r="DJ42" s="101"/>
      <c r="DK42" s="96"/>
      <c r="DL42" s="96"/>
      <c r="DM42" s="96"/>
      <c r="DN42" s="96"/>
      <c r="DS42" s="110"/>
      <c r="DT42" s="118"/>
      <c r="DU42" s="109"/>
      <c r="DV42" s="109"/>
      <c r="DW42" s="109"/>
      <c r="DX42" s="109"/>
      <c r="DY42" s="110"/>
      <c r="DZ42" s="101"/>
      <c r="EA42" s="96"/>
      <c r="EB42" s="96"/>
      <c r="EC42" s="96"/>
      <c r="ED42" s="96"/>
      <c r="EI42" s="110"/>
      <c r="EJ42" s="118"/>
      <c r="EK42" s="109"/>
      <c r="EL42" s="109"/>
      <c r="EM42" s="109"/>
      <c r="EN42" s="109"/>
      <c r="EO42" s="110"/>
      <c r="EP42" s="101"/>
      <c r="EQ42" s="96"/>
      <c r="ER42" s="96"/>
      <c r="ES42" s="96"/>
      <c r="ET42" s="96"/>
      <c r="EY42" s="110"/>
      <c r="EZ42" s="118"/>
      <c r="FA42" s="109"/>
      <c r="FB42" s="109"/>
      <c r="FC42" s="109"/>
      <c r="FD42" s="109"/>
      <c r="FE42" s="110"/>
      <c r="FF42" s="101"/>
      <c r="FG42" s="96"/>
      <c r="FH42" s="96"/>
      <c r="FI42" s="96"/>
      <c r="FJ42" s="96"/>
      <c r="FO42" s="110"/>
      <c r="FP42" s="118"/>
      <c r="FQ42" s="109"/>
      <c r="FR42" s="109"/>
      <c r="FS42" s="109"/>
      <c r="FT42" s="109"/>
      <c r="FU42" s="110"/>
      <c r="FV42" s="101"/>
      <c r="FW42" s="96"/>
      <c r="FX42" s="96"/>
      <c r="FY42" s="96"/>
      <c r="FZ42" s="96"/>
      <c r="GE42" s="110"/>
      <c r="GF42" s="118"/>
      <c r="GG42" s="109"/>
      <c r="GH42" s="109"/>
      <c r="GI42" s="109"/>
      <c r="GJ42" s="109"/>
      <c r="GK42" s="110"/>
      <c r="GL42" s="101"/>
      <c r="GM42" s="96"/>
      <c r="GN42" s="96"/>
      <c r="GO42" s="96"/>
      <c r="GP42" s="96"/>
      <c r="GU42" s="110"/>
      <c r="GV42" s="118"/>
      <c r="GW42" s="109"/>
      <c r="GX42" s="109"/>
      <c r="GY42" s="109"/>
      <c r="GZ42" s="109"/>
      <c r="HA42" s="110"/>
      <c r="HB42" s="101"/>
      <c r="HC42" s="96"/>
      <c r="HD42" s="96"/>
      <c r="HE42" s="96"/>
      <c r="HF42" s="96"/>
      <c r="HK42" s="110"/>
      <c r="HL42" s="118"/>
      <c r="HM42" s="109"/>
      <c r="HN42" s="109"/>
      <c r="HO42" s="109"/>
      <c r="HP42" s="109"/>
      <c r="HQ42" s="110"/>
      <c r="HR42" s="101"/>
      <c r="HS42" s="96"/>
      <c r="HT42" s="96"/>
      <c r="HU42" s="96"/>
      <c r="HV42" s="96"/>
      <c r="IA42" s="110"/>
      <c r="IB42" s="118"/>
      <c r="IC42" s="109"/>
      <c r="ID42" s="109"/>
      <c r="IE42" s="109"/>
      <c r="IF42" s="109"/>
      <c r="IG42" s="110"/>
      <c r="IH42" s="101"/>
      <c r="II42" s="96"/>
      <c r="IJ42" s="96"/>
      <c r="IK42" s="96"/>
      <c r="IL42" s="96"/>
      <c r="IQ42" s="110"/>
      <c r="IR42" s="118"/>
      <c r="IS42" s="109"/>
      <c r="IT42" s="109"/>
      <c r="IU42" s="109"/>
      <c r="IV42" s="109"/>
      <c r="IW42" s="110"/>
    </row>
    <row r="43" spans="1:257" s="82" customFormat="1" ht="15.75" x14ac:dyDescent="0.25">
      <c r="A43" s="95"/>
      <c r="B43" s="362"/>
      <c r="D43" s="120"/>
      <c r="E43" s="412">
        <f>AVERAGE(H38,E41:E42)</f>
        <v>0.91738946759259254</v>
      </c>
      <c r="F43" s="412">
        <f>AVERAGE(I38,F41:F42)</f>
        <v>0.94804133603238883</v>
      </c>
      <c r="G43" s="1498">
        <f>AVERAGE(E43:F43)</f>
        <v>0.93271540181249069</v>
      </c>
      <c r="H43" s="121"/>
      <c r="I43" s="122"/>
      <c r="J43" s="121"/>
      <c r="K43" s="121"/>
      <c r="L43" s="121"/>
      <c r="M43" s="121"/>
      <c r="N43" s="121"/>
      <c r="O43" s="121"/>
      <c r="P43" s="121"/>
      <c r="Q43" s="121"/>
      <c r="R43" s="96"/>
      <c r="S43" s="96"/>
      <c r="T43" s="96"/>
      <c r="U43" s="96"/>
      <c r="V43" s="96"/>
      <c r="AA43" s="110"/>
      <c r="AB43" s="118"/>
      <c r="AC43" s="109"/>
      <c r="AD43" s="109"/>
      <c r="AE43" s="109"/>
      <c r="AF43" s="109"/>
      <c r="AG43" s="110"/>
      <c r="AH43" s="101"/>
      <c r="AI43" s="96"/>
      <c r="AJ43" s="96"/>
      <c r="AK43" s="96"/>
      <c r="AL43" s="96"/>
      <c r="AQ43" s="110"/>
      <c r="AR43" s="118"/>
      <c r="AS43" s="109"/>
      <c r="AT43" s="109"/>
      <c r="AU43" s="109"/>
      <c r="AV43" s="109"/>
      <c r="AW43" s="110"/>
      <c r="AX43" s="101"/>
      <c r="AY43" s="96"/>
      <c r="AZ43" s="96"/>
      <c r="BA43" s="96"/>
      <c r="BB43" s="96"/>
      <c r="BG43" s="110"/>
      <c r="BH43" s="118"/>
      <c r="BI43" s="109"/>
      <c r="BJ43" s="109"/>
      <c r="BK43" s="109"/>
      <c r="BL43" s="109"/>
      <c r="BM43" s="110"/>
      <c r="BN43" s="101"/>
      <c r="BO43" s="96"/>
      <c r="BP43" s="96"/>
      <c r="BQ43" s="96"/>
      <c r="BR43" s="96"/>
      <c r="BW43" s="110"/>
      <c r="BX43" s="118"/>
      <c r="BY43" s="109"/>
      <c r="BZ43" s="109"/>
      <c r="CA43" s="109"/>
      <c r="CB43" s="109"/>
      <c r="CC43" s="110"/>
      <c r="CD43" s="101"/>
      <c r="CE43" s="96"/>
      <c r="CF43" s="96"/>
      <c r="CG43" s="96"/>
      <c r="CH43" s="96"/>
      <c r="CM43" s="110"/>
      <c r="CN43" s="118"/>
      <c r="CO43" s="109"/>
      <c r="CP43" s="109"/>
      <c r="CQ43" s="109"/>
      <c r="CR43" s="109"/>
      <c r="CS43" s="110"/>
      <c r="CT43" s="101"/>
      <c r="CU43" s="96"/>
      <c r="CV43" s="96"/>
      <c r="CW43" s="96"/>
      <c r="CX43" s="96"/>
      <c r="DC43" s="110"/>
      <c r="DD43" s="118"/>
      <c r="DE43" s="109"/>
      <c r="DF43" s="109"/>
      <c r="DG43" s="109"/>
      <c r="DH43" s="109"/>
      <c r="DI43" s="110"/>
      <c r="DJ43" s="101"/>
      <c r="DK43" s="96"/>
      <c r="DL43" s="96"/>
      <c r="DM43" s="96"/>
      <c r="DN43" s="96"/>
      <c r="DS43" s="110"/>
      <c r="DT43" s="118"/>
      <c r="DU43" s="109"/>
      <c r="DV43" s="109"/>
      <c r="DW43" s="109"/>
      <c r="DX43" s="109"/>
      <c r="DY43" s="110"/>
      <c r="DZ43" s="101"/>
      <c r="EA43" s="96"/>
      <c r="EB43" s="96"/>
      <c r="EC43" s="96"/>
      <c r="ED43" s="96"/>
      <c r="EI43" s="110"/>
      <c r="EJ43" s="118"/>
      <c r="EK43" s="109"/>
      <c r="EL43" s="109"/>
      <c r="EM43" s="109"/>
      <c r="EN43" s="109"/>
      <c r="EO43" s="110"/>
      <c r="EP43" s="101"/>
      <c r="EQ43" s="96"/>
      <c r="ER43" s="96"/>
      <c r="ES43" s="96"/>
      <c r="ET43" s="96"/>
      <c r="EY43" s="110"/>
      <c r="EZ43" s="118"/>
      <c r="FA43" s="109"/>
      <c r="FB43" s="109"/>
      <c r="FC43" s="109"/>
      <c r="FD43" s="109"/>
      <c r="FE43" s="110"/>
      <c r="FF43" s="101"/>
      <c r="FG43" s="96"/>
      <c r="FH43" s="96"/>
      <c r="FI43" s="96"/>
      <c r="FJ43" s="96"/>
      <c r="FO43" s="110"/>
      <c r="FP43" s="118"/>
      <c r="FQ43" s="109"/>
      <c r="FR43" s="109"/>
      <c r="FS43" s="109"/>
      <c r="FT43" s="109"/>
      <c r="FU43" s="110"/>
      <c r="FV43" s="101"/>
      <c r="FW43" s="96"/>
      <c r="FX43" s="96"/>
      <c r="FY43" s="96"/>
      <c r="FZ43" s="96"/>
      <c r="GE43" s="110"/>
      <c r="GF43" s="118"/>
      <c r="GG43" s="109"/>
      <c r="GH43" s="109"/>
      <c r="GI43" s="109"/>
      <c r="GJ43" s="109"/>
      <c r="GK43" s="110"/>
      <c r="GL43" s="101"/>
      <c r="GM43" s="96"/>
      <c r="GN43" s="96"/>
      <c r="GO43" s="96"/>
      <c r="GP43" s="96"/>
      <c r="GU43" s="110"/>
      <c r="GV43" s="118"/>
      <c r="GW43" s="109"/>
      <c r="GX43" s="109"/>
      <c r="GY43" s="109"/>
      <c r="GZ43" s="109"/>
      <c r="HA43" s="110"/>
      <c r="HB43" s="101"/>
      <c r="HC43" s="96"/>
      <c r="HD43" s="96"/>
      <c r="HE43" s="96"/>
      <c r="HF43" s="96"/>
      <c r="HK43" s="110"/>
      <c r="HL43" s="118"/>
      <c r="HM43" s="109"/>
      <c r="HN43" s="109"/>
      <c r="HO43" s="109"/>
      <c r="HP43" s="109"/>
      <c r="HQ43" s="110"/>
      <c r="HR43" s="101"/>
      <c r="HS43" s="96"/>
      <c r="HT43" s="96"/>
      <c r="HU43" s="96"/>
      <c r="HV43" s="96"/>
      <c r="IA43" s="110"/>
      <c r="IB43" s="118"/>
      <c r="IC43" s="109"/>
      <c r="ID43" s="109"/>
      <c r="IE43" s="109"/>
      <c r="IF43" s="109"/>
      <c r="IG43" s="110"/>
      <c r="IH43" s="101"/>
      <c r="II43" s="96"/>
      <c r="IJ43" s="96"/>
      <c r="IK43" s="96"/>
      <c r="IL43" s="96"/>
      <c r="IQ43" s="110"/>
      <c r="IR43" s="118"/>
      <c r="IS43" s="109"/>
      <c r="IT43" s="109"/>
      <c r="IU43" s="109"/>
      <c r="IV43" s="109"/>
      <c r="IW43" s="110"/>
    </row>
    <row r="44" spans="1:257" s="82" customFormat="1" ht="15.75" x14ac:dyDescent="0.25">
      <c r="A44" s="56"/>
      <c r="B44" s="2482" t="s">
        <v>580</v>
      </c>
      <c r="C44" s="2482"/>
      <c r="D44" s="363" t="s">
        <v>1040</v>
      </c>
      <c r="E44" s="363" t="s">
        <v>1041</v>
      </c>
      <c r="F44" s="122" t="s">
        <v>1289</v>
      </c>
      <c r="G44" s="269"/>
      <c r="H44" s="121"/>
      <c r="I44" s="122"/>
      <c r="J44" s="121"/>
      <c r="K44" s="121"/>
      <c r="L44" s="121"/>
      <c r="M44" s="121"/>
      <c r="N44" s="121"/>
      <c r="O44" s="121"/>
      <c r="P44" s="121"/>
      <c r="Q44" s="121"/>
      <c r="R44" s="96"/>
      <c r="S44" s="96"/>
      <c r="T44" s="96"/>
      <c r="U44" s="96"/>
      <c r="V44" s="96"/>
      <c r="AA44" s="110"/>
      <c r="AB44" s="118"/>
      <c r="AC44" s="109"/>
      <c r="AD44" s="109"/>
      <c r="AE44" s="109"/>
      <c r="AF44" s="109"/>
      <c r="AG44" s="110"/>
      <c r="AH44" s="101"/>
      <c r="AI44" s="96"/>
      <c r="AJ44" s="96"/>
      <c r="AK44" s="96"/>
      <c r="AL44" s="96"/>
      <c r="AQ44" s="110"/>
      <c r="AR44" s="118"/>
      <c r="AS44" s="109"/>
      <c r="AT44" s="109"/>
      <c r="AU44" s="109"/>
      <c r="AV44" s="109"/>
      <c r="AW44" s="110"/>
      <c r="AX44" s="101"/>
      <c r="AY44" s="96"/>
      <c r="AZ44" s="96"/>
      <c r="BA44" s="96"/>
      <c r="BB44" s="96"/>
      <c r="BG44" s="110"/>
      <c r="BH44" s="118"/>
      <c r="BI44" s="109"/>
      <c r="BJ44" s="109"/>
      <c r="BK44" s="109"/>
      <c r="BL44" s="109"/>
      <c r="BM44" s="110"/>
      <c r="BN44" s="101"/>
      <c r="BO44" s="96"/>
      <c r="BP44" s="96"/>
      <c r="BQ44" s="96"/>
      <c r="BR44" s="96"/>
      <c r="BW44" s="110"/>
      <c r="BX44" s="118"/>
      <c r="BY44" s="109"/>
      <c r="BZ44" s="109"/>
      <c r="CA44" s="109"/>
      <c r="CB44" s="109"/>
      <c r="CC44" s="110"/>
      <c r="CD44" s="101"/>
      <c r="CE44" s="96"/>
      <c r="CF44" s="96"/>
      <c r="CG44" s="96"/>
      <c r="CH44" s="96"/>
      <c r="CM44" s="110"/>
      <c r="CN44" s="118"/>
      <c r="CO44" s="109"/>
      <c r="CP44" s="109"/>
      <c r="CQ44" s="109"/>
      <c r="CR44" s="109"/>
      <c r="CS44" s="110"/>
      <c r="CT44" s="101"/>
      <c r="CU44" s="96"/>
      <c r="CV44" s="96"/>
      <c r="CW44" s="96"/>
      <c r="CX44" s="96"/>
      <c r="DC44" s="110"/>
      <c r="DD44" s="118"/>
      <c r="DE44" s="109"/>
      <c r="DF44" s="109"/>
      <c r="DG44" s="109"/>
      <c r="DH44" s="109"/>
      <c r="DI44" s="110"/>
      <c r="DJ44" s="101"/>
      <c r="DK44" s="96"/>
      <c r="DL44" s="96"/>
      <c r="DM44" s="96"/>
      <c r="DN44" s="96"/>
      <c r="DS44" s="110"/>
      <c r="DT44" s="118"/>
      <c r="DU44" s="109"/>
      <c r="DV44" s="109"/>
      <c r="DW44" s="109"/>
      <c r="DX44" s="109"/>
      <c r="DY44" s="110"/>
      <c r="DZ44" s="101"/>
      <c r="EA44" s="96"/>
      <c r="EB44" s="96"/>
      <c r="EC44" s="96"/>
      <c r="ED44" s="96"/>
      <c r="EI44" s="110"/>
      <c r="EJ44" s="118"/>
      <c r="EK44" s="109"/>
      <c r="EL44" s="109"/>
      <c r="EM44" s="109"/>
      <c r="EN44" s="109"/>
      <c r="EO44" s="110"/>
      <c r="EP44" s="101"/>
      <c r="EQ44" s="96"/>
      <c r="ER44" s="96"/>
      <c r="ES44" s="96"/>
      <c r="ET44" s="96"/>
      <c r="EY44" s="110"/>
      <c r="EZ44" s="118"/>
      <c r="FA44" s="109"/>
      <c r="FB44" s="109"/>
      <c r="FC44" s="109"/>
      <c r="FD44" s="109"/>
      <c r="FE44" s="110"/>
      <c r="FF44" s="101"/>
      <c r="FG44" s="96"/>
      <c r="FH44" s="96"/>
      <c r="FI44" s="96"/>
      <c r="FJ44" s="96"/>
      <c r="FO44" s="110"/>
      <c r="FP44" s="118"/>
      <c r="FQ44" s="109"/>
      <c r="FR44" s="109"/>
      <c r="FS44" s="109"/>
      <c r="FT44" s="109"/>
      <c r="FU44" s="110"/>
      <c r="FV44" s="101"/>
      <c r="FW44" s="96"/>
      <c r="FX44" s="96"/>
      <c r="FY44" s="96"/>
      <c r="FZ44" s="96"/>
      <c r="GE44" s="110"/>
      <c r="GF44" s="118"/>
      <c r="GG44" s="109"/>
      <c r="GH44" s="109"/>
      <c r="GI44" s="109"/>
      <c r="GJ44" s="109"/>
      <c r="GK44" s="110"/>
      <c r="GL44" s="101"/>
      <c r="GM44" s="96"/>
      <c r="GN44" s="96"/>
      <c r="GO44" s="96"/>
      <c r="GP44" s="96"/>
      <c r="GU44" s="110"/>
      <c r="GV44" s="118"/>
      <c r="GW44" s="109"/>
      <c r="GX44" s="109"/>
      <c r="GY44" s="109"/>
      <c r="GZ44" s="109"/>
      <c r="HA44" s="110"/>
      <c r="HB44" s="101"/>
      <c r="HC44" s="96"/>
      <c r="HD44" s="96"/>
      <c r="HE44" s="96"/>
      <c r="HF44" s="96"/>
      <c r="HK44" s="110"/>
      <c r="HL44" s="118"/>
      <c r="HM44" s="109"/>
      <c r="HN44" s="109"/>
      <c r="HO44" s="109"/>
      <c r="HP44" s="109"/>
      <c r="HQ44" s="110"/>
      <c r="HR44" s="101"/>
      <c r="HS44" s="96"/>
      <c r="HT44" s="96"/>
      <c r="HU44" s="96"/>
      <c r="HV44" s="96"/>
      <c r="IA44" s="110"/>
      <c r="IB44" s="118"/>
      <c r="IC44" s="109"/>
      <c r="ID44" s="109"/>
      <c r="IE44" s="109"/>
      <c r="IF44" s="109"/>
      <c r="IG44" s="110"/>
      <c r="IH44" s="101"/>
      <c r="II44" s="96"/>
      <c r="IJ44" s="96"/>
      <c r="IK44" s="96"/>
      <c r="IL44" s="96"/>
      <c r="IQ44" s="110"/>
      <c r="IR44" s="118"/>
      <c r="IS44" s="109"/>
      <c r="IT44" s="109"/>
      <c r="IU44" s="109"/>
      <c r="IV44" s="109"/>
      <c r="IW44" s="110"/>
    </row>
    <row r="45" spans="1:257" s="82" customFormat="1" ht="20.25" customHeight="1" x14ac:dyDescent="0.25">
      <c r="A45" s="56"/>
      <c r="B45" s="2483" t="s">
        <v>581</v>
      </c>
      <c r="C45" s="2483"/>
      <c r="D45" s="364">
        <f>E38*D38</f>
        <v>0.48599999999999999</v>
      </c>
      <c r="E45" s="364">
        <f>F38*D38</f>
        <v>0.48599999999999999</v>
      </c>
      <c r="F45" s="119"/>
      <c r="G45" s="120"/>
      <c r="H45" s="121"/>
      <c r="I45" s="122"/>
      <c r="J45" s="121"/>
      <c r="K45" s="121"/>
      <c r="L45" s="121"/>
      <c r="M45" s="121"/>
      <c r="N45" s="121"/>
      <c r="O45" s="121"/>
      <c r="P45" s="121"/>
      <c r="Q45" s="121"/>
      <c r="R45" s="96"/>
      <c r="S45" s="96"/>
      <c r="T45" s="96"/>
      <c r="U45" s="96"/>
      <c r="V45" s="96"/>
      <c r="AA45" s="110"/>
      <c r="AB45" s="118"/>
      <c r="AC45" s="109"/>
      <c r="AD45" s="109"/>
      <c r="AE45" s="109"/>
      <c r="AF45" s="109"/>
      <c r="AG45" s="110"/>
      <c r="AH45" s="101"/>
      <c r="AI45" s="96"/>
      <c r="AJ45" s="96"/>
      <c r="AK45" s="96"/>
      <c r="AL45" s="96"/>
      <c r="AQ45" s="110"/>
      <c r="AR45" s="118"/>
      <c r="AS45" s="109"/>
      <c r="AT45" s="109"/>
      <c r="AU45" s="109"/>
      <c r="AV45" s="109"/>
      <c r="AW45" s="110"/>
      <c r="AX45" s="101"/>
      <c r="AY45" s="96"/>
      <c r="AZ45" s="96"/>
      <c r="BA45" s="96"/>
      <c r="BB45" s="96"/>
      <c r="BG45" s="110"/>
      <c r="BH45" s="118"/>
      <c r="BI45" s="109"/>
      <c r="BJ45" s="109"/>
      <c r="BK45" s="109"/>
      <c r="BL45" s="109"/>
      <c r="BM45" s="110"/>
      <c r="BN45" s="101"/>
      <c r="BO45" s="96"/>
      <c r="BP45" s="96"/>
      <c r="BQ45" s="96"/>
      <c r="BR45" s="96"/>
      <c r="BW45" s="110"/>
      <c r="BX45" s="118"/>
      <c r="BY45" s="109"/>
      <c r="BZ45" s="109"/>
      <c r="CA45" s="109"/>
      <c r="CB45" s="109"/>
      <c r="CC45" s="110"/>
      <c r="CD45" s="101"/>
      <c r="CE45" s="96"/>
      <c r="CF45" s="96"/>
      <c r="CG45" s="96"/>
      <c r="CH45" s="96"/>
      <c r="CM45" s="110"/>
      <c r="CN45" s="118"/>
      <c r="CO45" s="109"/>
      <c r="CP45" s="109"/>
      <c r="CQ45" s="109"/>
      <c r="CR45" s="109"/>
      <c r="CS45" s="110"/>
      <c r="CT45" s="101"/>
      <c r="CU45" s="96"/>
      <c r="CV45" s="96"/>
      <c r="CW45" s="96"/>
      <c r="CX45" s="96"/>
      <c r="DC45" s="110"/>
      <c r="DD45" s="118"/>
      <c r="DE45" s="109"/>
      <c r="DF45" s="109"/>
      <c r="DG45" s="109"/>
      <c r="DH45" s="109"/>
      <c r="DI45" s="110"/>
      <c r="DJ45" s="101"/>
      <c r="DK45" s="96"/>
      <c r="DL45" s="96"/>
      <c r="DM45" s="96"/>
      <c r="DN45" s="96"/>
      <c r="DS45" s="110"/>
      <c r="DT45" s="118"/>
      <c r="DU45" s="109"/>
      <c r="DV45" s="109"/>
      <c r="DW45" s="109"/>
      <c r="DX45" s="109"/>
      <c r="DY45" s="110"/>
      <c r="DZ45" s="101"/>
      <c r="EA45" s="96"/>
      <c r="EB45" s="96"/>
      <c r="EC45" s="96"/>
      <c r="ED45" s="96"/>
      <c r="EI45" s="110"/>
      <c r="EJ45" s="118"/>
      <c r="EK45" s="109"/>
      <c r="EL45" s="109"/>
      <c r="EM45" s="109"/>
      <c r="EN45" s="109"/>
      <c r="EO45" s="110"/>
      <c r="EP45" s="101"/>
      <c r="EQ45" s="96"/>
      <c r="ER45" s="96"/>
      <c r="ES45" s="96"/>
      <c r="ET45" s="96"/>
      <c r="EY45" s="110"/>
      <c r="EZ45" s="118"/>
      <c r="FA45" s="109"/>
      <c r="FB45" s="109"/>
      <c r="FC45" s="109"/>
      <c r="FD45" s="109"/>
      <c r="FE45" s="110"/>
      <c r="FF45" s="101"/>
      <c r="FG45" s="96"/>
      <c r="FH45" s="96"/>
      <c r="FI45" s="96"/>
      <c r="FJ45" s="96"/>
      <c r="FO45" s="110"/>
      <c r="FP45" s="118"/>
      <c r="FQ45" s="109"/>
      <c r="FR45" s="109"/>
      <c r="FS45" s="109"/>
      <c r="FT45" s="109"/>
      <c r="FU45" s="110"/>
      <c r="FV45" s="101"/>
      <c r="FW45" s="96"/>
      <c r="FX45" s="96"/>
      <c r="FY45" s="96"/>
      <c r="FZ45" s="96"/>
      <c r="GE45" s="110"/>
      <c r="GF45" s="118"/>
      <c r="GG45" s="109"/>
      <c r="GH45" s="109"/>
      <c r="GI45" s="109"/>
      <c r="GJ45" s="109"/>
      <c r="GK45" s="110"/>
      <c r="GL45" s="101"/>
      <c r="GM45" s="96"/>
      <c r="GN45" s="96"/>
      <c r="GO45" s="96"/>
      <c r="GP45" s="96"/>
      <c r="GU45" s="110"/>
      <c r="GV45" s="118"/>
      <c r="GW45" s="109"/>
      <c r="GX45" s="109"/>
      <c r="GY45" s="109"/>
      <c r="GZ45" s="109"/>
      <c r="HA45" s="110"/>
      <c r="HB45" s="101"/>
      <c r="HC45" s="96"/>
      <c r="HD45" s="96"/>
      <c r="HE45" s="96"/>
      <c r="HF45" s="96"/>
      <c r="HK45" s="110"/>
      <c r="HL45" s="118"/>
      <c r="HM45" s="109"/>
      <c r="HN45" s="109"/>
      <c r="HO45" s="109"/>
      <c r="HP45" s="109"/>
      <c r="HQ45" s="110"/>
      <c r="HR45" s="101"/>
      <c r="HS45" s="96"/>
      <c r="HT45" s="96"/>
      <c r="HU45" s="96"/>
      <c r="HV45" s="96"/>
      <c r="IA45" s="110"/>
      <c r="IB45" s="118"/>
      <c r="IC45" s="109"/>
      <c r="ID45" s="109"/>
      <c r="IE45" s="109"/>
      <c r="IF45" s="109"/>
      <c r="IG45" s="110"/>
      <c r="IH45" s="101"/>
      <c r="II45" s="96"/>
      <c r="IJ45" s="96"/>
      <c r="IK45" s="96"/>
      <c r="IL45" s="96"/>
      <c r="IQ45" s="110"/>
      <c r="IR45" s="118"/>
      <c r="IS45" s="109"/>
      <c r="IT45" s="109"/>
      <c r="IU45" s="109"/>
      <c r="IV45" s="109"/>
      <c r="IW45" s="110"/>
    </row>
    <row r="46" spans="1:257" s="82" customFormat="1" ht="15.75" x14ac:dyDescent="0.25">
      <c r="A46" s="56"/>
      <c r="B46" s="2483" t="s">
        <v>582</v>
      </c>
      <c r="C46" s="2483"/>
      <c r="D46" s="364">
        <f>E39*D39</f>
        <v>0.2</v>
      </c>
      <c r="E46" s="364">
        <f>F39*D39</f>
        <v>0.2</v>
      </c>
      <c r="F46" s="119"/>
      <c r="G46" s="120"/>
      <c r="H46" s="121"/>
      <c r="I46" s="122"/>
      <c r="J46" s="121"/>
      <c r="K46" s="121"/>
      <c r="L46" s="121"/>
      <c r="M46" s="121"/>
      <c r="N46" s="121"/>
      <c r="O46" s="121"/>
      <c r="P46" s="121"/>
      <c r="Q46" s="121"/>
      <c r="R46" s="96"/>
      <c r="S46" s="96"/>
      <c r="T46" s="96"/>
      <c r="U46" s="96"/>
      <c r="V46" s="96"/>
      <c r="AA46" s="110"/>
      <c r="AB46" s="118"/>
      <c r="AC46" s="109"/>
      <c r="AD46" s="109"/>
      <c r="AE46" s="109"/>
      <c r="AF46" s="109"/>
      <c r="AG46" s="110"/>
      <c r="AH46" s="101"/>
      <c r="AI46" s="96"/>
      <c r="AJ46" s="96"/>
      <c r="AK46" s="96"/>
      <c r="AL46" s="96"/>
      <c r="AQ46" s="110"/>
      <c r="AR46" s="118"/>
      <c r="AS46" s="109"/>
      <c r="AT46" s="109"/>
      <c r="AU46" s="109"/>
      <c r="AV46" s="109"/>
      <c r="AW46" s="110"/>
      <c r="AX46" s="101"/>
      <c r="AY46" s="96"/>
      <c r="AZ46" s="96"/>
      <c r="BA46" s="96"/>
      <c r="BB46" s="96"/>
      <c r="BG46" s="110"/>
      <c r="BH46" s="118"/>
      <c r="BI46" s="109"/>
      <c r="BJ46" s="109"/>
      <c r="BK46" s="109"/>
      <c r="BL46" s="109"/>
      <c r="BM46" s="110"/>
      <c r="BN46" s="101"/>
      <c r="BO46" s="96"/>
      <c r="BP46" s="96"/>
      <c r="BQ46" s="96"/>
      <c r="BR46" s="96"/>
      <c r="BW46" s="110"/>
      <c r="BX46" s="118"/>
      <c r="BY46" s="109"/>
      <c r="BZ46" s="109"/>
      <c r="CA46" s="109"/>
      <c r="CB46" s="109"/>
      <c r="CC46" s="110"/>
      <c r="CD46" s="101"/>
      <c r="CE46" s="96"/>
      <c r="CF46" s="96"/>
      <c r="CG46" s="96"/>
      <c r="CH46" s="96"/>
      <c r="CM46" s="110"/>
      <c r="CN46" s="118"/>
      <c r="CO46" s="109"/>
      <c r="CP46" s="109"/>
      <c r="CQ46" s="109"/>
      <c r="CR46" s="109"/>
      <c r="CS46" s="110"/>
      <c r="CT46" s="101"/>
      <c r="CU46" s="96"/>
      <c r="CV46" s="96"/>
      <c r="CW46" s="96"/>
      <c r="CX46" s="96"/>
      <c r="DC46" s="110"/>
      <c r="DD46" s="118"/>
      <c r="DE46" s="109"/>
      <c r="DF46" s="109"/>
      <c r="DG46" s="109"/>
      <c r="DH46" s="109"/>
      <c r="DI46" s="110"/>
      <c r="DJ46" s="101"/>
      <c r="DK46" s="96"/>
      <c r="DL46" s="96"/>
      <c r="DM46" s="96"/>
      <c r="DN46" s="96"/>
      <c r="DS46" s="110"/>
      <c r="DT46" s="118"/>
      <c r="DU46" s="109"/>
      <c r="DV46" s="109"/>
      <c r="DW46" s="109"/>
      <c r="DX46" s="109"/>
      <c r="DY46" s="110"/>
      <c r="DZ46" s="101"/>
      <c r="EA46" s="96"/>
      <c r="EB46" s="96"/>
      <c r="EC46" s="96"/>
      <c r="ED46" s="96"/>
      <c r="EI46" s="110"/>
      <c r="EJ46" s="118"/>
      <c r="EK46" s="109"/>
      <c r="EL46" s="109"/>
      <c r="EM46" s="109"/>
      <c r="EN46" s="109"/>
      <c r="EO46" s="110"/>
      <c r="EP46" s="101"/>
      <c r="EQ46" s="96"/>
      <c r="ER46" s="96"/>
      <c r="ES46" s="96"/>
      <c r="ET46" s="96"/>
      <c r="EY46" s="110"/>
      <c r="EZ46" s="118"/>
      <c r="FA46" s="109"/>
      <c r="FB46" s="109"/>
      <c r="FC46" s="109"/>
      <c r="FD46" s="109"/>
      <c r="FE46" s="110"/>
      <c r="FF46" s="101"/>
      <c r="FG46" s="96"/>
      <c r="FH46" s="96"/>
      <c r="FI46" s="96"/>
      <c r="FJ46" s="96"/>
      <c r="FO46" s="110"/>
      <c r="FP46" s="118"/>
      <c r="FQ46" s="109"/>
      <c r="FR46" s="109"/>
      <c r="FS46" s="109"/>
      <c r="FT46" s="109"/>
      <c r="FU46" s="110"/>
      <c r="FV46" s="101"/>
      <c r="FW46" s="96"/>
      <c r="FX46" s="96"/>
      <c r="FY46" s="96"/>
      <c r="FZ46" s="96"/>
      <c r="GE46" s="110"/>
      <c r="GF46" s="118"/>
      <c r="GG46" s="109"/>
      <c r="GH46" s="109"/>
      <c r="GI46" s="109"/>
      <c r="GJ46" s="109"/>
      <c r="GK46" s="110"/>
      <c r="GL46" s="101"/>
      <c r="GM46" s="96"/>
      <c r="GN46" s="96"/>
      <c r="GO46" s="96"/>
      <c r="GP46" s="96"/>
      <c r="GU46" s="110"/>
      <c r="GV46" s="118"/>
      <c r="GW46" s="109"/>
      <c r="GX46" s="109"/>
      <c r="GY46" s="109"/>
      <c r="GZ46" s="109"/>
      <c r="HA46" s="110"/>
      <c r="HB46" s="101"/>
      <c r="HC46" s="96"/>
      <c r="HD46" s="96"/>
      <c r="HE46" s="96"/>
      <c r="HF46" s="96"/>
      <c r="HK46" s="110"/>
      <c r="HL46" s="118"/>
      <c r="HM46" s="109"/>
      <c r="HN46" s="109"/>
      <c r="HO46" s="109"/>
      <c r="HP46" s="109"/>
      <c r="HQ46" s="110"/>
      <c r="HR46" s="101"/>
      <c r="HS46" s="96"/>
      <c r="HT46" s="96"/>
      <c r="HU46" s="96"/>
      <c r="HV46" s="96"/>
      <c r="IA46" s="110"/>
      <c r="IB46" s="118"/>
      <c r="IC46" s="109"/>
      <c r="ID46" s="109"/>
      <c r="IE46" s="109"/>
      <c r="IF46" s="109"/>
      <c r="IG46" s="110"/>
      <c r="IH46" s="101"/>
      <c r="II46" s="96"/>
      <c r="IJ46" s="96"/>
      <c r="IK46" s="96"/>
      <c r="IL46" s="96"/>
      <c r="IQ46" s="110"/>
      <c r="IR46" s="118"/>
      <c r="IS46" s="109"/>
      <c r="IT46" s="109"/>
      <c r="IU46" s="109"/>
      <c r="IV46" s="109"/>
      <c r="IW46" s="110"/>
    </row>
    <row r="47" spans="1:257" s="82" customFormat="1" ht="15.75" x14ac:dyDescent="0.25">
      <c r="A47" s="56"/>
      <c r="B47" s="2483" t="s">
        <v>587</v>
      </c>
      <c r="C47" s="2483"/>
      <c r="D47" s="364">
        <f>E40*D40</f>
        <v>0.19455333333333333</v>
      </c>
      <c r="E47" s="364">
        <f>F40*D40</f>
        <v>0.19387894736842107</v>
      </c>
      <c r="F47" s="119"/>
      <c r="G47" s="120"/>
      <c r="H47" s="121"/>
      <c r="I47" s="122"/>
      <c r="J47" s="121"/>
      <c r="K47" s="121"/>
      <c r="L47" s="121"/>
      <c r="M47" s="121"/>
      <c r="N47" s="121"/>
      <c r="O47" s="121"/>
      <c r="P47" s="121"/>
      <c r="Q47" s="121"/>
      <c r="R47" s="96"/>
      <c r="S47" s="96"/>
      <c r="T47" s="96"/>
      <c r="U47" s="96"/>
      <c r="V47" s="96"/>
      <c r="AA47" s="110"/>
      <c r="AB47" s="118"/>
      <c r="AC47" s="109"/>
      <c r="AD47" s="109"/>
      <c r="AE47" s="109"/>
      <c r="AF47" s="109"/>
      <c r="AG47" s="110"/>
      <c r="AH47" s="101"/>
      <c r="AI47" s="96"/>
      <c r="AJ47" s="96"/>
      <c r="AK47" s="96"/>
      <c r="AL47" s="96"/>
      <c r="AQ47" s="110"/>
      <c r="AR47" s="118"/>
      <c r="AS47" s="109"/>
      <c r="AT47" s="109"/>
      <c r="AU47" s="109"/>
      <c r="AV47" s="109"/>
      <c r="AW47" s="110"/>
      <c r="AX47" s="101"/>
      <c r="AY47" s="96"/>
      <c r="AZ47" s="96"/>
      <c r="BA47" s="96"/>
      <c r="BB47" s="96"/>
      <c r="BG47" s="110"/>
      <c r="BH47" s="118"/>
      <c r="BI47" s="109"/>
      <c r="BJ47" s="109"/>
      <c r="BK47" s="109"/>
      <c r="BL47" s="109"/>
      <c r="BM47" s="110"/>
      <c r="BN47" s="101"/>
      <c r="BO47" s="96"/>
      <c r="BP47" s="96"/>
      <c r="BQ47" s="96"/>
      <c r="BR47" s="96"/>
      <c r="BW47" s="110"/>
      <c r="BX47" s="118"/>
      <c r="BY47" s="109"/>
      <c r="BZ47" s="109"/>
      <c r="CA47" s="109"/>
      <c r="CB47" s="109"/>
      <c r="CC47" s="110"/>
      <c r="CD47" s="101"/>
      <c r="CE47" s="96"/>
      <c r="CF47" s="96"/>
      <c r="CG47" s="96"/>
      <c r="CH47" s="96"/>
      <c r="CM47" s="110"/>
      <c r="CN47" s="118"/>
      <c r="CO47" s="109"/>
      <c r="CP47" s="109"/>
      <c r="CQ47" s="109"/>
      <c r="CR47" s="109"/>
      <c r="CS47" s="110"/>
      <c r="CT47" s="101"/>
      <c r="CU47" s="96"/>
      <c r="CV47" s="96"/>
      <c r="CW47" s="96"/>
      <c r="CX47" s="96"/>
      <c r="DC47" s="110"/>
      <c r="DD47" s="118"/>
      <c r="DE47" s="109"/>
      <c r="DF47" s="109"/>
      <c r="DG47" s="109"/>
      <c r="DH47" s="109"/>
      <c r="DI47" s="110"/>
      <c r="DJ47" s="101"/>
      <c r="DK47" s="96"/>
      <c r="DL47" s="96"/>
      <c r="DM47" s="96"/>
      <c r="DN47" s="96"/>
      <c r="DS47" s="110"/>
      <c r="DT47" s="118"/>
      <c r="DU47" s="109"/>
      <c r="DV47" s="109"/>
      <c r="DW47" s="109"/>
      <c r="DX47" s="109"/>
      <c r="DY47" s="110"/>
      <c r="DZ47" s="101"/>
      <c r="EA47" s="96"/>
      <c r="EB47" s="96"/>
      <c r="EC47" s="96"/>
      <c r="ED47" s="96"/>
      <c r="EI47" s="110"/>
      <c r="EJ47" s="118"/>
      <c r="EK47" s="109"/>
      <c r="EL47" s="109"/>
      <c r="EM47" s="109"/>
      <c r="EN47" s="109"/>
      <c r="EO47" s="110"/>
      <c r="EP47" s="101"/>
      <c r="EQ47" s="96"/>
      <c r="ER47" s="96"/>
      <c r="ES47" s="96"/>
      <c r="ET47" s="96"/>
      <c r="EY47" s="110"/>
      <c r="EZ47" s="118"/>
      <c r="FA47" s="109"/>
      <c r="FB47" s="109"/>
      <c r="FC47" s="109"/>
      <c r="FD47" s="109"/>
      <c r="FE47" s="110"/>
      <c r="FF47" s="101"/>
      <c r="FG47" s="96"/>
      <c r="FH47" s="96"/>
      <c r="FI47" s="96"/>
      <c r="FJ47" s="96"/>
      <c r="FO47" s="110"/>
      <c r="FP47" s="118"/>
      <c r="FQ47" s="109"/>
      <c r="FR47" s="109"/>
      <c r="FS47" s="109"/>
      <c r="FT47" s="109"/>
      <c r="FU47" s="110"/>
      <c r="FV47" s="101"/>
      <c r="FW47" s="96"/>
      <c r="FX47" s="96"/>
      <c r="FY47" s="96"/>
      <c r="FZ47" s="96"/>
      <c r="GE47" s="110"/>
      <c r="GF47" s="118"/>
      <c r="GG47" s="109"/>
      <c r="GH47" s="109"/>
      <c r="GI47" s="109"/>
      <c r="GJ47" s="109"/>
      <c r="GK47" s="110"/>
      <c r="GL47" s="101"/>
      <c r="GM47" s="96"/>
      <c r="GN47" s="96"/>
      <c r="GO47" s="96"/>
      <c r="GP47" s="96"/>
      <c r="GU47" s="110"/>
      <c r="GV47" s="118"/>
      <c r="GW47" s="109"/>
      <c r="GX47" s="109"/>
      <c r="GY47" s="109"/>
      <c r="GZ47" s="109"/>
      <c r="HA47" s="110"/>
      <c r="HB47" s="101"/>
      <c r="HC47" s="96"/>
      <c r="HD47" s="96"/>
      <c r="HE47" s="96"/>
      <c r="HF47" s="96"/>
      <c r="HK47" s="110"/>
      <c r="HL47" s="118"/>
      <c r="HM47" s="109"/>
      <c r="HN47" s="109"/>
      <c r="HO47" s="109"/>
      <c r="HP47" s="109"/>
      <c r="HQ47" s="110"/>
      <c r="HR47" s="101"/>
      <c r="HS47" s="96"/>
      <c r="HT47" s="96"/>
      <c r="HU47" s="96"/>
      <c r="HV47" s="96"/>
      <c r="IA47" s="110"/>
      <c r="IB47" s="118"/>
      <c r="IC47" s="109"/>
      <c r="ID47" s="109"/>
      <c r="IE47" s="109"/>
      <c r="IF47" s="109"/>
      <c r="IG47" s="110"/>
      <c r="IH47" s="101"/>
      <c r="II47" s="96"/>
      <c r="IJ47" s="96"/>
      <c r="IK47" s="96"/>
      <c r="IL47" s="96"/>
      <c r="IQ47" s="110"/>
      <c r="IR47" s="118"/>
      <c r="IS47" s="109"/>
      <c r="IT47" s="109"/>
      <c r="IU47" s="109"/>
      <c r="IV47" s="109"/>
      <c r="IW47" s="110"/>
    </row>
    <row r="48" spans="1:257" s="82" customFormat="1" ht="15.75" x14ac:dyDescent="0.25">
      <c r="A48" s="56"/>
      <c r="B48" s="2500">
        <v>0.4</v>
      </c>
      <c r="C48" s="2501"/>
      <c r="D48" s="365">
        <f>((D45)+(D46)+(D47))*B48</f>
        <v>0.35222133333333333</v>
      </c>
      <c r="E48" s="365">
        <f>((E45)+(E46)+(E47))*B48</f>
        <v>0.35195157894736839</v>
      </c>
      <c r="F48" s="119"/>
      <c r="G48" s="120"/>
      <c r="H48" s="121"/>
      <c r="I48" s="122"/>
      <c r="J48" s="121"/>
      <c r="L48" s="121"/>
      <c r="M48" s="121"/>
      <c r="N48" s="121"/>
      <c r="O48" s="121"/>
      <c r="P48" s="121"/>
      <c r="Q48" s="121"/>
      <c r="R48" s="96"/>
      <c r="S48" s="96"/>
      <c r="T48" s="96"/>
      <c r="U48" s="96"/>
      <c r="V48" s="96"/>
      <c r="AA48" s="110"/>
      <c r="AB48" s="118"/>
      <c r="AC48" s="109"/>
      <c r="AD48" s="109"/>
      <c r="AE48" s="109"/>
      <c r="AF48" s="109"/>
      <c r="AG48" s="110"/>
      <c r="AH48" s="101"/>
      <c r="AI48" s="96"/>
      <c r="AJ48" s="96"/>
      <c r="AK48" s="96"/>
      <c r="AL48" s="96"/>
      <c r="AQ48" s="110"/>
      <c r="AR48" s="118"/>
      <c r="AS48" s="109"/>
      <c r="AT48" s="109"/>
      <c r="AU48" s="109"/>
      <c r="AV48" s="109"/>
      <c r="AW48" s="110"/>
      <c r="AX48" s="101"/>
      <c r="AY48" s="96"/>
      <c r="AZ48" s="96"/>
      <c r="BA48" s="96"/>
      <c r="BB48" s="96"/>
      <c r="BG48" s="110"/>
      <c r="BH48" s="118"/>
      <c r="BI48" s="109"/>
      <c r="BJ48" s="109"/>
      <c r="BK48" s="109"/>
      <c r="BL48" s="109"/>
      <c r="BM48" s="110"/>
      <c r="BN48" s="101"/>
      <c r="BO48" s="96"/>
      <c r="BP48" s="96"/>
      <c r="BQ48" s="96"/>
      <c r="BR48" s="96"/>
      <c r="BW48" s="110"/>
      <c r="BX48" s="118"/>
      <c r="BY48" s="109"/>
      <c r="BZ48" s="109"/>
      <c r="CA48" s="109"/>
      <c r="CB48" s="109"/>
      <c r="CC48" s="110"/>
      <c r="CD48" s="101"/>
      <c r="CE48" s="96"/>
      <c r="CF48" s="96"/>
      <c r="CG48" s="96"/>
      <c r="CH48" s="96"/>
      <c r="CM48" s="110"/>
      <c r="CN48" s="118"/>
      <c r="CO48" s="109"/>
      <c r="CP48" s="109"/>
      <c r="CQ48" s="109"/>
      <c r="CR48" s="109"/>
      <c r="CS48" s="110"/>
      <c r="CT48" s="101"/>
      <c r="CU48" s="96"/>
      <c r="CV48" s="96"/>
      <c r="CW48" s="96"/>
      <c r="CX48" s="96"/>
      <c r="DC48" s="110"/>
      <c r="DD48" s="118"/>
      <c r="DE48" s="109"/>
      <c r="DF48" s="109"/>
      <c r="DG48" s="109"/>
      <c r="DH48" s="109"/>
      <c r="DI48" s="110"/>
      <c r="DJ48" s="101"/>
      <c r="DK48" s="96"/>
      <c r="DL48" s="96"/>
      <c r="DM48" s="96"/>
      <c r="DN48" s="96"/>
      <c r="DS48" s="110"/>
      <c r="DT48" s="118"/>
      <c r="DU48" s="109"/>
      <c r="DV48" s="109"/>
      <c r="DW48" s="109"/>
      <c r="DX48" s="109"/>
      <c r="DY48" s="110"/>
      <c r="DZ48" s="101"/>
      <c r="EA48" s="96"/>
      <c r="EB48" s="96"/>
      <c r="EC48" s="96"/>
      <c r="ED48" s="96"/>
      <c r="EI48" s="110"/>
      <c r="EJ48" s="118"/>
      <c r="EK48" s="109"/>
      <c r="EL48" s="109"/>
      <c r="EM48" s="109"/>
      <c r="EN48" s="109"/>
      <c r="EO48" s="110"/>
      <c r="EP48" s="101"/>
      <c r="EQ48" s="96"/>
      <c r="ER48" s="96"/>
      <c r="ES48" s="96"/>
      <c r="ET48" s="96"/>
      <c r="EY48" s="110"/>
      <c r="EZ48" s="118"/>
      <c r="FA48" s="109"/>
      <c r="FB48" s="109"/>
      <c r="FC48" s="109"/>
      <c r="FD48" s="109"/>
      <c r="FE48" s="110"/>
      <c r="FF48" s="101"/>
      <c r="FG48" s="96"/>
      <c r="FH48" s="96"/>
      <c r="FI48" s="96"/>
      <c r="FJ48" s="96"/>
      <c r="FO48" s="110"/>
      <c r="FP48" s="118"/>
      <c r="FQ48" s="109"/>
      <c r="FR48" s="109"/>
      <c r="FS48" s="109"/>
      <c r="FT48" s="109"/>
      <c r="FU48" s="110"/>
      <c r="FV48" s="101"/>
      <c r="FW48" s="96"/>
      <c r="FX48" s="96"/>
      <c r="FY48" s="96"/>
      <c r="FZ48" s="96"/>
      <c r="GE48" s="110"/>
      <c r="GF48" s="118"/>
      <c r="GG48" s="109"/>
      <c r="GH48" s="109"/>
      <c r="GI48" s="109"/>
      <c r="GJ48" s="109"/>
      <c r="GK48" s="110"/>
      <c r="GL48" s="101"/>
      <c r="GM48" s="96"/>
      <c r="GN48" s="96"/>
      <c r="GO48" s="96"/>
      <c r="GP48" s="96"/>
      <c r="GU48" s="110"/>
      <c r="GV48" s="118"/>
      <c r="GW48" s="109"/>
      <c r="GX48" s="109"/>
      <c r="GY48" s="109"/>
      <c r="GZ48" s="109"/>
      <c r="HA48" s="110"/>
      <c r="HB48" s="101"/>
      <c r="HC48" s="96"/>
      <c r="HD48" s="96"/>
      <c r="HE48" s="96"/>
      <c r="HF48" s="96"/>
      <c r="HK48" s="110"/>
      <c r="HL48" s="118"/>
      <c r="HM48" s="109"/>
      <c r="HN48" s="109"/>
      <c r="HO48" s="109"/>
      <c r="HP48" s="109"/>
      <c r="HQ48" s="110"/>
      <c r="HR48" s="101"/>
      <c r="HS48" s="96"/>
      <c r="HT48" s="96"/>
      <c r="HU48" s="96"/>
      <c r="HV48" s="96"/>
      <c r="IA48" s="110"/>
      <c r="IB48" s="118"/>
      <c r="IC48" s="109"/>
      <c r="ID48" s="109"/>
      <c r="IE48" s="109"/>
      <c r="IF48" s="109"/>
      <c r="IG48" s="110"/>
      <c r="IH48" s="101"/>
      <c r="II48" s="96"/>
      <c r="IJ48" s="96"/>
      <c r="IK48" s="96"/>
      <c r="IL48" s="96"/>
      <c r="IQ48" s="110"/>
      <c r="IR48" s="118"/>
      <c r="IS48" s="109"/>
      <c r="IT48" s="109"/>
      <c r="IU48" s="109"/>
      <c r="IV48" s="109"/>
      <c r="IW48" s="110"/>
    </row>
    <row r="49" spans="1:257" s="82" customFormat="1" ht="15.75" x14ac:dyDescent="0.25">
      <c r="A49" s="56"/>
      <c r="B49" s="2482" t="s">
        <v>583</v>
      </c>
      <c r="C49" s="2482"/>
      <c r="D49" s="365"/>
      <c r="E49" s="365"/>
      <c r="F49" s="119"/>
      <c r="G49" s="120"/>
      <c r="H49" s="121"/>
      <c r="I49" s="122"/>
      <c r="J49" s="121"/>
      <c r="L49" s="121"/>
      <c r="M49" s="121"/>
      <c r="N49" s="121"/>
      <c r="O49" s="121"/>
      <c r="P49" s="121"/>
      <c r="Q49" s="121"/>
      <c r="R49" s="96"/>
      <c r="S49" s="96"/>
      <c r="T49" s="96"/>
      <c r="U49" s="96"/>
      <c r="V49" s="96"/>
      <c r="AA49" s="110"/>
      <c r="AB49" s="118"/>
      <c r="AC49" s="109"/>
      <c r="AD49" s="109"/>
      <c r="AE49" s="109"/>
      <c r="AF49" s="109"/>
      <c r="AG49" s="110"/>
      <c r="AH49" s="101"/>
      <c r="AI49" s="96"/>
      <c r="AJ49" s="96"/>
      <c r="AK49" s="96"/>
      <c r="AL49" s="96"/>
      <c r="AQ49" s="110"/>
      <c r="AR49" s="118"/>
      <c r="AS49" s="109"/>
      <c r="AT49" s="109"/>
      <c r="AU49" s="109"/>
      <c r="AV49" s="109"/>
      <c r="AW49" s="110"/>
      <c r="AX49" s="101"/>
      <c r="AY49" s="96"/>
      <c r="AZ49" s="96"/>
      <c r="BA49" s="96"/>
      <c r="BB49" s="96"/>
      <c r="BG49" s="110"/>
      <c r="BH49" s="118"/>
      <c r="BI49" s="109"/>
      <c r="BJ49" s="109"/>
      <c r="BK49" s="109"/>
      <c r="BL49" s="109"/>
      <c r="BM49" s="110"/>
      <c r="BN49" s="101"/>
      <c r="BO49" s="96"/>
      <c r="BP49" s="96"/>
      <c r="BQ49" s="96"/>
      <c r="BR49" s="96"/>
      <c r="BW49" s="110"/>
      <c r="BX49" s="118"/>
      <c r="BY49" s="109"/>
      <c r="BZ49" s="109"/>
      <c r="CA49" s="109"/>
      <c r="CB49" s="109"/>
      <c r="CC49" s="110"/>
      <c r="CD49" s="101"/>
      <c r="CE49" s="96"/>
      <c r="CF49" s="96"/>
      <c r="CG49" s="96"/>
      <c r="CH49" s="96"/>
      <c r="CM49" s="110"/>
      <c r="CN49" s="118"/>
      <c r="CO49" s="109"/>
      <c r="CP49" s="109"/>
      <c r="CQ49" s="109"/>
      <c r="CR49" s="109"/>
      <c r="CS49" s="110"/>
      <c r="CT49" s="101"/>
      <c r="CU49" s="96"/>
      <c r="CV49" s="96"/>
      <c r="CW49" s="96"/>
      <c r="CX49" s="96"/>
      <c r="DC49" s="110"/>
      <c r="DD49" s="118"/>
      <c r="DE49" s="109"/>
      <c r="DF49" s="109"/>
      <c r="DG49" s="109"/>
      <c r="DH49" s="109"/>
      <c r="DI49" s="110"/>
      <c r="DJ49" s="101"/>
      <c r="DK49" s="96"/>
      <c r="DL49" s="96"/>
      <c r="DM49" s="96"/>
      <c r="DN49" s="96"/>
      <c r="DS49" s="110"/>
      <c r="DT49" s="118"/>
      <c r="DU49" s="109"/>
      <c r="DV49" s="109"/>
      <c r="DW49" s="109"/>
      <c r="DX49" s="109"/>
      <c r="DY49" s="110"/>
      <c r="DZ49" s="101"/>
      <c r="EA49" s="96"/>
      <c r="EB49" s="96"/>
      <c r="EC49" s="96"/>
      <c r="ED49" s="96"/>
      <c r="EI49" s="110"/>
      <c r="EJ49" s="118"/>
      <c r="EK49" s="109"/>
      <c r="EL49" s="109"/>
      <c r="EM49" s="109"/>
      <c r="EN49" s="109"/>
      <c r="EO49" s="110"/>
      <c r="EP49" s="101"/>
      <c r="EQ49" s="96"/>
      <c r="ER49" s="96"/>
      <c r="ES49" s="96"/>
      <c r="ET49" s="96"/>
      <c r="EY49" s="110"/>
      <c r="EZ49" s="118"/>
      <c r="FA49" s="109"/>
      <c r="FB49" s="109"/>
      <c r="FC49" s="109"/>
      <c r="FD49" s="109"/>
      <c r="FE49" s="110"/>
      <c r="FF49" s="101"/>
      <c r="FG49" s="96"/>
      <c r="FH49" s="96"/>
      <c r="FI49" s="96"/>
      <c r="FJ49" s="96"/>
      <c r="FO49" s="110"/>
      <c r="FP49" s="118"/>
      <c r="FQ49" s="109"/>
      <c r="FR49" s="109"/>
      <c r="FS49" s="109"/>
      <c r="FT49" s="109"/>
      <c r="FU49" s="110"/>
      <c r="FV49" s="101"/>
      <c r="FW49" s="96"/>
      <c r="FX49" s="96"/>
      <c r="FY49" s="96"/>
      <c r="FZ49" s="96"/>
      <c r="GE49" s="110"/>
      <c r="GF49" s="118"/>
      <c r="GG49" s="109"/>
      <c r="GH49" s="109"/>
      <c r="GI49" s="109"/>
      <c r="GJ49" s="109"/>
      <c r="GK49" s="110"/>
      <c r="GL49" s="101"/>
      <c r="GM49" s="96"/>
      <c r="GN49" s="96"/>
      <c r="GO49" s="96"/>
      <c r="GP49" s="96"/>
      <c r="GU49" s="110"/>
      <c r="GV49" s="118"/>
      <c r="GW49" s="109"/>
      <c r="GX49" s="109"/>
      <c r="GY49" s="109"/>
      <c r="GZ49" s="109"/>
      <c r="HA49" s="110"/>
      <c r="HB49" s="101"/>
      <c r="HC49" s="96"/>
      <c r="HD49" s="96"/>
      <c r="HE49" s="96"/>
      <c r="HF49" s="96"/>
      <c r="HK49" s="110"/>
      <c r="HL49" s="118"/>
      <c r="HM49" s="109"/>
      <c r="HN49" s="109"/>
      <c r="HO49" s="109"/>
      <c r="HP49" s="109"/>
      <c r="HQ49" s="110"/>
      <c r="HR49" s="101"/>
      <c r="HS49" s="96"/>
      <c r="HT49" s="96"/>
      <c r="HU49" s="96"/>
      <c r="HV49" s="96"/>
      <c r="IA49" s="110"/>
      <c r="IB49" s="118"/>
      <c r="IC49" s="109"/>
      <c r="ID49" s="109"/>
      <c r="IE49" s="109"/>
      <c r="IF49" s="109"/>
      <c r="IG49" s="110"/>
      <c r="IH49" s="101"/>
      <c r="II49" s="96"/>
      <c r="IJ49" s="96"/>
      <c r="IK49" s="96"/>
      <c r="IL49" s="96"/>
      <c r="IQ49" s="110"/>
      <c r="IR49" s="118"/>
      <c r="IS49" s="109"/>
      <c r="IT49" s="109"/>
      <c r="IU49" s="109"/>
      <c r="IV49" s="109"/>
      <c r="IW49" s="110"/>
    </row>
    <row r="50" spans="1:257" s="82" customFormat="1" ht="15.75" x14ac:dyDescent="0.25">
      <c r="A50" s="56"/>
      <c r="B50" s="2483" t="s">
        <v>584</v>
      </c>
      <c r="C50" s="2483"/>
      <c r="D50" s="364">
        <f>E41*D41</f>
        <v>0.26666666666666666</v>
      </c>
      <c r="E50" s="364">
        <f>F41*D41</f>
        <v>0.29081842105263156</v>
      </c>
      <c r="F50" s="119"/>
      <c r="G50" s="120"/>
      <c r="H50" s="121"/>
      <c r="I50" s="122"/>
      <c r="J50" s="121"/>
      <c r="L50" s="121"/>
      <c r="M50" s="121"/>
      <c r="N50" s="121"/>
      <c r="O50" s="121"/>
      <c r="P50" s="121"/>
      <c r="Q50" s="121"/>
      <c r="R50" s="96"/>
      <c r="S50" s="96"/>
      <c r="T50" s="96"/>
      <c r="U50" s="96"/>
      <c r="V50" s="96"/>
      <c r="AA50" s="110"/>
      <c r="AB50" s="118"/>
      <c r="AC50" s="109"/>
      <c r="AD50" s="109"/>
      <c r="AE50" s="109"/>
      <c r="AF50" s="109"/>
      <c r="AG50" s="110"/>
      <c r="AH50" s="101"/>
      <c r="AI50" s="96"/>
      <c r="AJ50" s="96"/>
      <c r="AK50" s="96"/>
      <c r="AL50" s="96"/>
      <c r="AQ50" s="110"/>
      <c r="AR50" s="118"/>
      <c r="AS50" s="109"/>
      <c r="AT50" s="109"/>
      <c r="AU50" s="109"/>
      <c r="AV50" s="109"/>
      <c r="AW50" s="110"/>
      <c r="AX50" s="101"/>
      <c r="AY50" s="96"/>
      <c r="AZ50" s="96"/>
      <c r="BA50" s="96"/>
      <c r="BB50" s="96"/>
      <c r="BG50" s="110"/>
      <c r="BH50" s="118"/>
      <c r="BI50" s="109"/>
      <c r="BJ50" s="109"/>
      <c r="BK50" s="109"/>
      <c r="BL50" s="109"/>
      <c r="BM50" s="110"/>
      <c r="BN50" s="101"/>
      <c r="BO50" s="96"/>
      <c r="BP50" s="96"/>
      <c r="BQ50" s="96"/>
      <c r="BR50" s="96"/>
      <c r="BW50" s="110"/>
      <c r="BX50" s="118"/>
      <c r="BY50" s="109"/>
      <c r="BZ50" s="109"/>
      <c r="CA50" s="109"/>
      <c r="CB50" s="109"/>
      <c r="CC50" s="110"/>
      <c r="CD50" s="101"/>
      <c r="CE50" s="96"/>
      <c r="CF50" s="96"/>
      <c r="CG50" s="96"/>
      <c r="CH50" s="96"/>
      <c r="CM50" s="110"/>
      <c r="CN50" s="118"/>
      <c r="CO50" s="109"/>
      <c r="CP50" s="109"/>
      <c r="CQ50" s="109"/>
      <c r="CR50" s="109"/>
      <c r="CS50" s="110"/>
      <c r="CT50" s="101"/>
      <c r="CU50" s="96"/>
      <c r="CV50" s="96"/>
      <c r="CW50" s="96"/>
      <c r="CX50" s="96"/>
      <c r="DC50" s="110"/>
      <c r="DD50" s="118"/>
      <c r="DE50" s="109"/>
      <c r="DF50" s="109"/>
      <c r="DG50" s="109"/>
      <c r="DH50" s="109"/>
      <c r="DI50" s="110"/>
      <c r="DJ50" s="101"/>
      <c r="DK50" s="96"/>
      <c r="DL50" s="96"/>
      <c r="DM50" s="96"/>
      <c r="DN50" s="96"/>
      <c r="DS50" s="110"/>
      <c r="DT50" s="118"/>
      <c r="DU50" s="109"/>
      <c r="DV50" s="109"/>
      <c r="DW50" s="109"/>
      <c r="DX50" s="109"/>
      <c r="DY50" s="110"/>
      <c r="DZ50" s="101"/>
      <c r="EA50" s="96"/>
      <c r="EB50" s="96"/>
      <c r="EC50" s="96"/>
      <c r="ED50" s="96"/>
      <c r="EI50" s="110"/>
      <c r="EJ50" s="118"/>
      <c r="EK50" s="109"/>
      <c r="EL50" s="109"/>
      <c r="EM50" s="109"/>
      <c r="EN50" s="109"/>
      <c r="EO50" s="110"/>
      <c r="EP50" s="101"/>
      <c r="EQ50" s="96"/>
      <c r="ER50" s="96"/>
      <c r="ES50" s="96"/>
      <c r="ET50" s="96"/>
      <c r="EY50" s="110"/>
      <c r="EZ50" s="118"/>
      <c r="FA50" s="109"/>
      <c r="FB50" s="109"/>
      <c r="FC50" s="109"/>
      <c r="FD50" s="109"/>
      <c r="FE50" s="110"/>
      <c r="FF50" s="101"/>
      <c r="FG50" s="96"/>
      <c r="FH50" s="96"/>
      <c r="FI50" s="96"/>
      <c r="FJ50" s="96"/>
      <c r="FO50" s="110"/>
      <c r="FP50" s="118"/>
      <c r="FQ50" s="109"/>
      <c r="FR50" s="109"/>
      <c r="FS50" s="109"/>
      <c r="FT50" s="109"/>
      <c r="FU50" s="110"/>
      <c r="FV50" s="101"/>
      <c r="FW50" s="96"/>
      <c r="FX50" s="96"/>
      <c r="FY50" s="96"/>
      <c r="FZ50" s="96"/>
      <c r="GE50" s="110"/>
      <c r="GF50" s="118"/>
      <c r="GG50" s="109"/>
      <c r="GH50" s="109"/>
      <c r="GI50" s="109"/>
      <c r="GJ50" s="109"/>
      <c r="GK50" s="110"/>
      <c r="GL50" s="101"/>
      <c r="GM50" s="96"/>
      <c r="GN50" s="96"/>
      <c r="GO50" s="96"/>
      <c r="GP50" s="96"/>
      <c r="GU50" s="110"/>
      <c r="GV50" s="118"/>
      <c r="GW50" s="109"/>
      <c r="GX50" s="109"/>
      <c r="GY50" s="109"/>
      <c r="GZ50" s="109"/>
      <c r="HA50" s="110"/>
      <c r="HB50" s="101"/>
      <c r="HC50" s="96"/>
      <c r="HD50" s="96"/>
      <c r="HE50" s="96"/>
      <c r="HF50" s="96"/>
      <c r="HK50" s="110"/>
      <c r="HL50" s="118"/>
      <c r="HM50" s="109"/>
      <c r="HN50" s="109"/>
      <c r="HO50" s="109"/>
      <c r="HP50" s="109"/>
      <c r="HQ50" s="110"/>
      <c r="HR50" s="101"/>
      <c r="HS50" s="96"/>
      <c r="HT50" s="96"/>
      <c r="HU50" s="96"/>
      <c r="HV50" s="96"/>
      <c r="IA50" s="110"/>
      <c r="IB50" s="118"/>
      <c r="IC50" s="109"/>
      <c r="ID50" s="109"/>
      <c r="IE50" s="109"/>
      <c r="IF50" s="109"/>
      <c r="IG50" s="110"/>
      <c r="IH50" s="101"/>
      <c r="II50" s="96"/>
      <c r="IJ50" s="96"/>
      <c r="IK50" s="96"/>
      <c r="IL50" s="96"/>
      <c r="IQ50" s="110"/>
      <c r="IR50" s="118"/>
      <c r="IS50" s="109"/>
      <c r="IT50" s="109"/>
      <c r="IU50" s="109"/>
      <c r="IV50" s="109"/>
      <c r="IW50" s="110"/>
    </row>
    <row r="51" spans="1:257" s="82" customFormat="1" ht="20.25" customHeight="1" x14ac:dyDescent="0.25">
      <c r="A51" s="56"/>
      <c r="B51" s="2482" t="s">
        <v>585</v>
      </c>
      <c r="C51" s="2482"/>
      <c r="D51" s="364"/>
      <c r="E51" s="364"/>
      <c r="F51" s="119"/>
      <c r="G51" s="120"/>
      <c r="H51" s="121"/>
      <c r="I51" s="122"/>
      <c r="J51" s="121"/>
      <c r="L51" s="121"/>
      <c r="M51" s="121"/>
      <c r="N51" s="121"/>
      <c r="O51" s="121"/>
      <c r="P51" s="121"/>
      <c r="Q51" s="121"/>
      <c r="R51" s="96"/>
      <c r="S51" s="96"/>
      <c r="T51" s="96"/>
      <c r="U51" s="96"/>
      <c r="V51" s="96"/>
      <c r="AA51" s="110"/>
      <c r="AB51" s="118"/>
      <c r="AC51" s="109"/>
      <c r="AD51" s="109"/>
      <c r="AE51" s="109"/>
      <c r="AF51" s="109"/>
      <c r="AG51" s="110"/>
      <c r="AH51" s="101"/>
      <c r="AI51" s="96"/>
      <c r="AJ51" s="96"/>
      <c r="AK51" s="96"/>
      <c r="AL51" s="96"/>
      <c r="AQ51" s="110"/>
      <c r="AR51" s="118"/>
      <c r="AS51" s="109"/>
      <c r="AT51" s="109"/>
      <c r="AU51" s="109"/>
      <c r="AV51" s="109"/>
      <c r="AW51" s="110"/>
      <c r="AX51" s="101"/>
      <c r="AY51" s="96"/>
      <c r="AZ51" s="96"/>
      <c r="BA51" s="96"/>
      <c r="BB51" s="96"/>
      <c r="BG51" s="110"/>
      <c r="BH51" s="118"/>
      <c r="BI51" s="109"/>
      <c r="BJ51" s="109"/>
      <c r="BK51" s="109"/>
      <c r="BL51" s="109"/>
      <c r="BM51" s="110"/>
      <c r="BN51" s="101"/>
      <c r="BO51" s="96"/>
      <c r="BP51" s="96"/>
      <c r="BQ51" s="96"/>
      <c r="BR51" s="96"/>
      <c r="BW51" s="110"/>
      <c r="BX51" s="118"/>
      <c r="BY51" s="109"/>
      <c r="BZ51" s="109"/>
      <c r="CA51" s="109"/>
      <c r="CB51" s="109"/>
      <c r="CC51" s="110"/>
      <c r="CD51" s="101"/>
      <c r="CE51" s="96"/>
      <c r="CF51" s="96"/>
      <c r="CG51" s="96"/>
      <c r="CH51" s="96"/>
      <c r="CM51" s="110"/>
      <c r="CN51" s="118"/>
      <c r="CO51" s="109"/>
      <c r="CP51" s="109"/>
      <c r="CQ51" s="109"/>
      <c r="CR51" s="109"/>
      <c r="CS51" s="110"/>
      <c r="CT51" s="101"/>
      <c r="CU51" s="96"/>
      <c r="CV51" s="96"/>
      <c r="CW51" s="96"/>
      <c r="CX51" s="96"/>
      <c r="DC51" s="110"/>
      <c r="DD51" s="118"/>
      <c r="DE51" s="109"/>
      <c r="DF51" s="109"/>
      <c r="DG51" s="109"/>
      <c r="DH51" s="109"/>
      <c r="DI51" s="110"/>
      <c r="DJ51" s="101"/>
      <c r="DK51" s="96"/>
      <c r="DL51" s="96"/>
      <c r="DM51" s="96"/>
      <c r="DN51" s="96"/>
      <c r="DS51" s="110"/>
      <c r="DT51" s="118"/>
      <c r="DU51" s="109"/>
      <c r="DV51" s="109"/>
      <c r="DW51" s="109"/>
      <c r="DX51" s="109"/>
      <c r="DY51" s="110"/>
      <c r="DZ51" s="101"/>
      <c r="EA51" s="96"/>
      <c r="EB51" s="96"/>
      <c r="EC51" s="96"/>
      <c r="ED51" s="96"/>
      <c r="EI51" s="110"/>
      <c r="EJ51" s="118"/>
      <c r="EK51" s="109"/>
      <c r="EL51" s="109"/>
      <c r="EM51" s="109"/>
      <c r="EN51" s="109"/>
      <c r="EO51" s="110"/>
      <c r="EP51" s="101"/>
      <c r="EQ51" s="96"/>
      <c r="ER51" s="96"/>
      <c r="ES51" s="96"/>
      <c r="ET51" s="96"/>
      <c r="EY51" s="110"/>
      <c r="EZ51" s="118"/>
      <c r="FA51" s="109"/>
      <c r="FB51" s="109"/>
      <c r="FC51" s="109"/>
      <c r="FD51" s="109"/>
      <c r="FE51" s="110"/>
      <c r="FF51" s="101"/>
      <c r="FG51" s="96"/>
      <c r="FH51" s="96"/>
      <c r="FI51" s="96"/>
      <c r="FJ51" s="96"/>
      <c r="FO51" s="110"/>
      <c r="FP51" s="118"/>
      <c r="FQ51" s="109"/>
      <c r="FR51" s="109"/>
      <c r="FS51" s="109"/>
      <c r="FT51" s="109"/>
      <c r="FU51" s="110"/>
      <c r="FV51" s="101"/>
      <c r="FW51" s="96"/>
      <c r="FX51" s="96"/>
      <c r="FY51" s="96"/>
      <c r="FZ51" s="96"/>
      <c r="GE51" s="110"/>
      <c r="GF51" s="118"/>
      <c r="GG51" s="109"/>
      <c r="GH51" s="109"/>
      <c r="GI51" s="109"/>
      <c r="GJ51" s="109"/>
      <c r="GK51" s="110"/>
      <c r="GL51" s="101"/>
      <c r="GM51" s="96"/>
      <c r="GN51" s="96"/>
      <c r="GO51" s="96"/>
      <c r="GP51" s="96"/>
      <c r="GU51" s="110"/>
      <c r="GV51" s="118"/>
      <c r="GW51" s="109"/>
      <c r="GX51" s="109"/>
      <c r="GY51" s="109"/>
      <c r="GZ51" s="109"/>
      <c r="HA51" s="110"/>
      <c r="HB51" s="101"/>
      <c r="HC51" s="96"/>
      <c r="HD51" s="96"/>
      <c r="HE51" s="96"/>
      <c r="HF51" s="96"/>
      <c r="HK51" s="110"/>
      <c r="HL51" s="118"/>
      <c r="HM51" s="109"/>
      <c r="HN51" s="109"/>
      <c r="HO51" s="109"/>
      <c r="HP51" s="109"/>
      <c r="HQ51" s="110"/>
      <c r="HR51" s="101"/>
      <c r="HS51" s="96"/>
      <c r="HT51" s="96"/>
      <c r="HU51" s="96"/>
      <c r="HV51" s="96"/>
      <c r="IA51" s="110"/>
      <c r="IB51" s="118"/>
      <c r="IC51" s="109"/>
      <c r="ID51" s="109"/>
      <c r="IE51" s="109"/>
      <c r="IF51" s="109"/>
      <c r="IG51" s="110"/>
      <c r="IH51" s="101"/>
      <c r="II51" s="96"/>
      <c r="IJ51" s="96"/>
      <c r="IK51" s="96"/>
      <c r="IL51" s="96"/>
      <c r="IQ51" s="110"/>
      <c r="IR51" s="118"/>
      <c r="IS51" s="109"/>
      <c r="IT51" s="109"/>
      <c r="IU51" s="109"/>
      <c r="IV51" s="109"/>
      <c r="IW51" s="110"/>
    </row>
    <row r="52" spans="1:257" s="82" customFormat="1" ht="15.75" x14ac:dyDescent="0.25">
      <c r="A52" s="56"/>
      <c r="B52" s="2483" t="s">
        <v>586</v>
      </c>
      <c r="C52" s="2483"/>
      <c r="D52" s="364">
        <f>E42*D42</f>
        <v>0.28070718749999996</v>
      </c>
      <c r="E52" s="364">
        <f>F42*D42</f>
        <v>0.28447930769230773</v>
      </c>
      <c r="F52" s="119"/>
      <c r="G52" s="120"/>
      <c r="H52" s="121"/>
      <c r="I52" s="122"/>
      <c r="J52" s="121"/>
      <c r="L52" s="121"/>
      <c r="M52" s="121"/>
      <c r="N52" s="121"/>
      <c r="O52" s="121"/>
      <c r="P52" s="121"/>
      <c r="Q52" s="121"/>
      <c r="R52" s="96"/>
      <c r="S52" s="96"/>
      <c r="T52" s="96"/>
      <c r="U52" s="96"/>
      <c r="V52" s="96"/>
      <c r="AA52" s="110"/>
      <c r="AB52" s="118"/>
      <c r="AC52" s="109"/>
      <c r="AD52" s="109"/>
      <c r="AE52" s="109"/>
      <c r="AF52" s="109"/>
      <c r="AG52" s="110"/>
      <c r="AH52" s="101"/>
      <c r="AI52" s="96"/>
      <c r="AJ52" s="96"/>
      <c r="AK52" s="96"/>
      <c r="AL52" s="96"/>
      <c r="AQ52" s="110"/>
      <c r="AR52" s="118"/>
      <c r="AS52" s="109"/>
      <c r="AT52" s="109"/>
      <c r="AU52" s="109"/>
      <c r="AV52" s="109"/>
      <c r="AW52" s="110"/>
      <c r="AX52" s="101"/>
      <c r="AY52" s="96"/>
      <c r="AZ52" s="96"/>
      <c r="BA52" s="96"/>
      <c r="BB52" s="96"/>
      <c r="BG52" s="110"/>
      <c r="BH52" s="118"/>
      <c r="BI52" s="109"/>
      <c r="BJ52" s="109"/>
      <c r="BK52" s="109"/>
      <c r="BL52" s="109"/>
      <c r="BM52" s="110"/>
      <c r="BN52" s="101"/>
      <c r="BO52" s="96"/>
      <c r="BP52" s="96"/>
      <c r="BQ52" s="96"/>
      <c r="BR52" s="96"/>
      <c r="BW52" s="110"/>
      <c r="BX52" s="118"/>
      <c r="BY52" s="109"/>
      <c r="BZ52" s="109"/>
      <c r="CA52" s="109"/>
      <c r="CB52" s="109"/>
      <c r="CC52" s="110"/>
      <c r="CD52" s="101"/>
      <c r="CE52" s="96"/>
      <c r="CF52" s="96"/>
      <c r="CG52" s="96"/>
      <c r="CH52" s="96"/>
      <c r="CM52" s="110"/>
      <c r="CN52" s="118"/>
      <c r="CO52" s="109"/>
      <c r="CP52" s="109"/>
      <c r="CQ52" s="109"/>
      <c r="CR52" s="109"/>
      <c r="CS52" s="110"/>
      <c r="CT52" s="101"/>
      <c r="CU52" s="96"/>
      <c r="CV52" s="96"/>
      <c r="CW52" s="96"/>
      <c r="CX52" s="96"/>
      <c r="DC52" s="110"/>
      <c r="DD52" s="118"/>
      <c r="DE52" s="109"/>
      <c r="DF52" s="109"/>
      <c r="DG52" s="109"/>
      <c r="DH52" s="109"/>
      <c r="DI52" s="110"/>
      <c r="DJ52" s="101"/>
      <c r="DK52" s="96"/>
      <c r="DL52" s="96"/>
      <c r="DM52" s="96"/>
      <c r="DN52" s="96"/>
      <c r="DS52" s="110"/>
      <c r="DT52" s="118"/>
      <c r="DU52" s="109"/>
      <c r="DV52" s="109"/>
      <c r="DW52" s="109"/>
      <c r="DX52" s="109"/>
      <c r="DY52" s="110"/>
      <c r="DZ52" s="101"/>
      <c r="EA52" s="96"/>
      <c r="EB52" s="96"/>
      <c r="EC52" s="96"/>
      <c r="ED52" s="96"/>
      <c r="EI52" s="110"/>
      <c r="EJ52" s="118"/>
      <c r="EK52" s="109"/>
      <c r="EL52" s="109"/>
      <c r="EM52" s="109"/>
      <c r="EN52" s="109"/>
      <c r="EO52" s="110"/>
      <c r="EP52" s="101"/>
      <c r="EQ52" s="96"/>
      <c r="ER52" s="96"/>
      <c r="ES52" s="96"/>
      <c r="ET52" s="96"/>
      <c r="EY52" s="110"/>
      <c r="EZ52" s="118"/>
      <c r="FA52" s="109"/>
      <c r="FB52" s="109"/>
      <c r="FC52" s="109"/>
      <c r="FD52" s="109"/>
      <c r="FE52" s="110"/>
      <c r="FF52" s="101"/>
      <c r="FG52" s="96"/>
      <c r="FH52" s="96"/>
      <c r="FI52" s="96"/>
      <c r="FJ52" s="96"/>
      <c r="FO52" s="110"/>
      <c r="FP52" s="118"/>
      <c r="FQ52" s="109"/>
      <c r="FR52" s="109"/>
      <c r="FS52" s="109"/>
      <c r="FT52" s="109"/>
      <c r="FU52" s="110"/>
      <c r="FV52" s="101"/>
      <c r="FW52" s="96"/>
      <c r="FX52" s="96"/>
      <c r="FY52" s="96"/>
      <c r="FZ52" s="96"/>
      <c r="GE52" s="110"/>
      <c r="GF52" s="118"/>
      <c r="GG52" s="109"/>
      <c r="GH52" s="109"/>
      <c r="GI52" s="109"/>
      <c r="GJ52" s="109"/>
      <c r="GK52" s="110"/>
      <c r="GL52" s="101"/>
      <c r="GM52" s="96"/>
      <c r="GN52" s="96"/>
      <c r="GO52" s="96"/>
      <c r="GP52" s="96"/>
      <c r="GU52" s="110"/>
      <c r="GV52" s="118"/>
      <c r="GW52" s="109"/>
      <c r="GX52" s="109"/>
      <c r="GY52" s="109"/>
      <c r="GZ52" s="109"/>
      <c r="HA52" s="110"/>
      <c r="HB52" s="101"/>
      <c r="HC52" s="96"/>
      <c r="HD52" s="96"/>
      <c r="HE52" s="96"/>
      <c r="HF52" s="96"/>
      <c r="HK52" s="110"/>
      <c r="HL52" s="118"/>
      <c r="HM52" s="109"/>
      <c r="HN52" s="109"/>
      <c r="HO52" s="109"/>
      <c r="HP52" s="109"/>
      <c r="HQ52" s="110"/>
      <c r="HR52" s="101"/>
      <c r="HS52" s="96"/>
      <c r="HT52" s="96"/>
      <c r="HU52" s="96"/>
      <c r="HV52" s="96"/>
      <c r="IA52" s="110"/>
      <c r="IB52" s="118"/>
      <c r="IC52" s="109"/>
      <c r="ID52" s="109"/>
      <c r="IE52" s="109"/>
      <c r="IF52" s="109"/>
      <c r="IG52" s="110"/>
      <c r="IH52" s="101"/>
      <c r="II52" s="96"/>
      <c r="IJ52" s="96"/>
      <c r="IK52" s="96"/>
      <c r="IL52" s="96"/>
      <c r="IQ52" s="110"/>
      <c r="IR52" s="118"/>
      <c r="IS52" s="109"/>
      <c r="IT52" s="109"/>
      <c r="IU52" s="109"/>
      <c r="IV52" s="109"/>
      <c r="IW52" s="110"/>
    </row>
    <row r="53" spans="1:257" s="82" customFormat="1" ht="20.25" x14ac:dyDescent="0.3">
      <c r="A53" s="56"/>
      <c r="B53" s="2484" t="s">
        <v>578</v>
      </c>
      <c r="C53" s="2484"/>
      <c r="D53" s="1511">
        <f>SUM(D48:D52)</f>
        <v>0.89959518749999989</v>
      </c>
      <c r="E53" s="1511">
        <f>SUM(E48:E52)</f>
        <v>0.92724930769230762</v>
      </c>
      <c r="F53" s="1512">
        <f>AVERAGE(D53:E53)</f>
        <v>0.91342224759615376</v>
      </c>
      <c r="G53" s="120"/>
      <c r="H53" s="121"/>
      <c r="I53" s="122"/>
      <c r="J53" s="121"/>
      <c r="L53" s="121"/>
      <c r="M53" s="121"/>
      <c r="N53" s="121"/>
      <c r="O53" s="121"/>
      <c r="P53" s="121"/>
      <c r="Q53" s="121"/>
      <c r="R53" s="96"/>
      <c r="S53" s="96"/>
      <c r="T53" s="96"/>
      <c r="U53" s="96"/>
      <c r="V53" s="96"/>
      <c r="AA53" s="110"/>
      <c r="AB53" s="118"/>
      <c r="AC53" s="109"/>
      <c r="AD53" s="109"/>
      <c r="AE53" s="109"/>
      <c r="AF53" s="109"/>
      <c r="AG53" s="110"/>
      <c r="AH53" s="101"/>
      <c r="AI53" s="96"/>
      <c r="AJ53" s="96"/>
      <c r="AK53" s="96"/>
      <c r="AL53" s="96"/>
      <c r="AQ53" s="110"/>
      <c r="AR53" s="118"/>
      <c r="AS53" s="109"/>
      <c r="AT53" s="109"/>
      <c r="AU53" s="109"/>
      <c r="AV53" s="109"/>
      <c r="AW53" s="110"/>
      <c r="AX53" s="101"/>
      <c r="AY53" s="96"/>
      <c r="AZ53" s="96"/>
      <c r="BA53" s="96"/>
      <c r="BB53" s="96"/>
      <c r="BG53" s="110"/>
      <c r="BH53" s="118"/>
      <c r="BI53" s="109"/>
      <c r="BJ53" s="109"/>
      <c r="BK53" s="109"/>
      <c r="BL53" s="109"/>
      <c r="BM53" s="110"/>
      <c r="BN53" s="101"/>
      <c r="BO53" s="96"/>
      <c r="BP53" s="96"/>
      <c r="BQ53" s="96"/>
      <c r="BR53" s="96"/>
      <c r="BW53" s="110"/>
      <c r="BX53" s="118"/>
      <c r="BY53" s="109"/>
      <c r="BZ53" s="109"/>
      <c r="CA53" s="109"/>
      <c r="CB53" s="109"/>
      <c r="CC53" s="110"/>
      <c r="CD53" s="101"/>
      <c r="CE53" s="96"/>
      <c r="CF53" s="96"/>
      <c r="CG53" s="96"/>
      <c r="CH53" s="96"/>
      <c r="CM53" s="110"/>
      <c r="CN53" s="118"/>
      <c r="CO53" s="109"/>
      <c r="CP53" s="109"/>
      <c r="CQ53" s="109"/>
      <c r="CR53" s="109"/>
      <c r="CS53" s="110"/>
      <c r="CT53" s="101"/>
      <c r="CU53" s="96"/>
      <c r="CV53" s="96"/>
      <c r="CW53" s="96"/>
      <c r="CX53" s="96"/>
      <c r="DC53" s="110"/>
      <c r="DD53" s="118"/>
      <c r="DE53" s="109"/>
      <c r="DF53" s="109"/>
      <c r="DG53" s="109"/>
      <c r="DH53" s="109"/>
      <c r="DI53" s="110"/>
      <c r="DJ53" s="101"/>
      <c r="DK53" s="96"/>
      <c r="DL53" s="96"/>
      <c r="DM53" s="96"/>
      <c r="DN53" s="96"/>
      <c r="DS53" s="110"/>
      <c r="DT53" s="118"/>
      <c r="DU53" s="109"/>
      <c r="DV53" s="109"/>
      <c r="DW53" s="109"/>
      <c r="DX53" s="109"/>
      <c r="DY53" s="110"/>
      <c r="DZ53" s="101"/>
      <c r="EA53" s="96"/>
      <c r="EB53" s="96"/>
      <c r="EC53" s="96"/>
      <c r="ED53" s="96"/>
      <c r="EI53" s="110"/>
      <c r="EJ53" s="118"/>
      <c r="EK53" s="109"/>
      <c r="EL53" s="109"/>
      <c r="EM53" s="109"/>
      <c r="EN53" s="109"/>
      <c r="EO53" s="110"/>
      <c r="EP53" s="101"/>
      <c r="EQ53" s="96"/>
      <c r="ER53" s="96"/>
      <c r="ES53" s="96"/>
      <c r="ET53" s="96"/>
      <c r="EY53" s="110"/>
      <c r="EZ53" s="118"/>
      <c r="FA53" s="109"/>
      <c r="FB53" s="109"/>
      <c r="FC53" s="109"/>
      <c r="FD53" s="109"/>
      <c r="FE53" s="110"/>
      <c r="FF53" s="101"/>
      <c r="FG53" s="96"/>
      <c r="FH53" s="96"/>
      <c r="FI53" s="96"/>
      <c r="FJ53" s="96"/>
      <c r="FO53" s="110"/>
      <c r="FP53" s="118"/>
      <c r="FQ53" s="109"/>
      <c r="FR53" s="109"/>
      <c r="FS53" s="109"/>
      <c r="FT53" s="109"/>
      <c r="FU53" s="110"/>
      <c r="FV53" s="101"/>
      <c r="FW53" s="96"/>
      <c r="FX53" s="96"/>
      <c r="FY53" s="96"/>
      <c r="FZ53" s="96"/>
      <c r="GE53" s="110"/>
      <c r="GF53" s="118"/>
      <c r="GG53" s="109"/>
      <c r="GH53" s="109"/>
      <c r="GI53" s="109"/>
      <c r="GJ53" s="109"/>
      <c r="GK53" s="110"/>
      <c r="GL53" s="101"/>
      <c r="GM53" s="96"/>
      <c r="GN53" s="96"/>
      <c r="GO53" s="96"/>
      <c r="GP53" s="96"/>
      <c r="GU53" s="110"/>
      <c r="GV53" s="118"/>
      <c r="GW53" s="109"/>
      <c r="GX53" s="109"/>
      <c r="GY53" s="109"/>
      <c r="GZ53" s="109"/>
      <c r="HA53" s="110"/>
      <c r="HB53" s="101"/>
      <c r="HC53" s="96"/>
      <c r="HD53" s="96"/>
      <c r="HE53" s="96"/>
      <c r="HF53" s="96"/>
      <c r="HK53" s="110"/>
      <c r="HL53" s="118"/>
      <c r="HM53" s="109"/>
      <c r="HN53" s="109"/>
      <c r="HO53" s="109"/>
      <c r="HP53" s="109"/>
      <c r="HQ53" s="110"/>
      <c r="HR53" s="101"/>
      <c r="HS53" s="96"/>
      <c r="HT53" s="96"/>
      <c r="HU53" s="96"/>
      <c r="HV53" s="96"/>
      <c r="IA53" s="110"/>
      <c r="IB53" s="118"/>
      <c r="IC53" s="109"/>
      <c r="ID53" s="109"/>
      <c r="IE53" s="109"/>
      <c r="IF53" s="109"/>
      <c r="IG53" s="110"/>
      <c r="IH53" s="101"/>
      <c r="II53" s="96"/>
      <c r="IJ53" s="96"/>
      <c r="IK53" s="96"/>
      <c r="IL53" s="96"/>
      <c r="IQ53" s="110"/>
      <c r="IR53" s="118"/>
      <c r="IS53" s="109"/>
      <c r="IT53" s="109"/>
      <c r="IU53" s="109"/>
      <c r="IV53" s="109"/>
      <c r="IW53" s="110"/>
    </row>
    <row r="54" spans="1:257" s="82" customFormat="1" ht="20.25" x14ac:dyDescent="0.3">
      <c r="A54" s="56"/>
      <c r="B54" s="95"/>
      <c r="C54" s="95"/>
      <c r="D54" s="95"/>
      <c r="E54" s="95"/>
      <c r="F54" s="1513">
        <v>0.90669999999999995</v>
      </c>
      <c r="G54" s="120" t="s">
        <v>783</v>
      </c>
      <c r="H54" s="121"/>
      <c r="I54" s="122"/>
      <c r="J54" s="121"/>
      <c r="K54" s="121"/>
      <c r="L54" s="121"/>
      <c r="M54" s="121"/>
      <c r="N54" s="121"/>
      <c r="O54" s="121"/>
      <c r="P54" s="121"/>
      <c r="Q54" s="121"/>
      <c r="R54" s="96"/>
      <c r="S54" s="96"/>
      <c r="T54" s="96"/>
      <c r="U54" s="96"/>
      <c r="V54" s="96"/>
      <c r="AA54" s="110"/>
      <c r="AB54" s="118"/>
      <c r="AC54" s="109"/>
      <c r="AD54" s="109"/>
      <c r="AE54" s="109"/>
      <c r="AF54" s="109"/>
      <c r="AG54" s="110"/>
      <c r="AH54" s="101"/>
      <c r="AI54" s="96"/>
      <c r="AJ54" s="96"/>
      <c r="AK54" s="96"/>
      <c r="AL54" s="96"/>
      <c r="AQ54" s="110"/>
      <c r="AR54" s="118"/>
      <c r="AS54" s="109"/>
      <c r="AT54" s="109"/>
      <c r="AU54" s="109"/>
      <c r="AV54" s="109"/>
      <c r="AW54" s="110"/>
      <c r="AX54" s="101"/>
      <c r="AY54" s="96"/>
      <c r="AZ54" s="96"/>
      <c r="BA54" s="96"/>
      <c r="BB54" s="96"/>
      <c r="BG54" s="110"/>
      <c r="BH54" s="118"/>
      <c r="BI54" s="109"/>
      <c r="BJ54" s="109"/>
      <c r="BK54" s="109"/>
      <c r="BL54" s="109"/>
      <c r="BM54" s="110"/>
      <c r="BN54" s="101"/>
      <c r="BO54" s="96"/>
      <c r="BP54" s="96"/>
      <c r="BQ54" s="96"/>
      <c r="BR54" s="96"/>
      <c r="BW54" s="110"/>
      <c r="BX54" s="118"/>
      <c r="BY54" s="109"/>
      <c r="BZ54" s="109"/>
      <c r="CA54" s="109"/>
      <c r="CB54" s="109"/>
      <c r="CC54" s="110"/>
      <c r="CD54" s="101"/>
      <c r="CE54" s="96"/>
      <c r="CF54" s="96"/>
      <c r="CG54" s="96"/>
      <c r="CH54" s="96"/>
      <c r="CM54" s="110"/>
      <c r="CN54" s="118"/>
      <c r="CO54" s="109"/>
      <c r="CP54" s="109"/>
      <c r="CQ54" s="109"/>
      <c r="CR54" s="109"/>
      <c r="CS54" s="110"/>
      <c r="CT54" s="101"/>
      <c r="CU54" s="96"/>
      <c r="CV54" s="96"/>
      <c r="CW54" s="96"/>
      <c r="CX54" s="96"/>
      <c r="DC54" s="110"/>
      <c r="DD54" s="118"/>
      <c r="DE54" s="109"/>
      <c r="DF54" s="109"/>
      <c r="DG54" s="109"/>
      <c r="DH54" s="109"/>
      <c r="DI54" s="110"/>
      <c r="DJ54" s="101"/>
      <c r="DK54" s="96"/>
      <c r="DL54" s="96"/>
      <c r="DM54" s="96"/>
      <c r="DN54" s="96"/>
      <c r="DS54" s="110"/>
      <c r="DT54" s="118"/>
      <c r="DU54" s="109"/>
      <c r="DV54" s="109"/>
      <c r="DW54" s="109"/>
      <c r="DX54" s="109"/>
      <c r="DY54" s="110"/>
      <c r="DZ54" s="101"/>
      <c r="EA54" s="96"/>
      <c r="EB54" s="96"/>
      <c r="EC54" s="96"/>
      <c r="ED54" s="96"/>
      <c r="EI54" s="110"/>
      <c r="EJ54" s="118"/>
      <c r="EK54" s="109"/>
      <c r="EL54" s="109"/>
      <c r="EM54" s="109"/>
      <c r="EN54" s="109"/>
      <c r="EO54" s="110"/>
      <c r="EP54" s="101"/>
      <c r="EQ54" s="96"/>
      <c r="ER54" s="96"/>
      <c r="ES54" s="96"/>
      <c r="ET54" s="96"/>
      <c r="EY54" s="110"/>
      <c r="EZ54" s="118"/>
      <c r="FA54" s="109"/>
      <c r="FB54" s="109"/>
      <c r="FC54" s="109"/>
      <c r="FD54" s="109"/>
      <c r="FE54" s="110"/>
      <c r="FF54" s="101"/>
      <c r="FG54" s="96"/>
      <c r="FH54" s="96"/>
      <c r="FI54" s="96"/>
      <c r="FJ54" s="96"/>
      <c r="FO54" s="110"/>
      <c r="FP54" s="118"/>
      <c r="FQ54" s="109"/>
      <c r="FR54" s="109"/>
      <c r="FS54" s="109"/>
      <c r="FT54" s="109"/>
      <c r="FU54" s="110"/>
      <c r="FV54" s="101"/>
      <c r="FW54" s="96"/>
      <c r="FX54" s="96"/>
      <c r="FY54" s="96"/>
      <c r="FZ54" s="96"/>
      <c r="GE54" s="110"/>
      <c r="GF54" s="118"/>
      <c r="GG54" s="109"/>
      <c r="GH54" s="109"/>
      <c r="GI54" s="109"/>
      <c r="GJ54" s="109"/>
      <c r="GK54" s="110"/>
      <c r="GL54" s="101"/>
      <c r="GM54" s="96"/>
      <c r="GN54" s="96"/>
      <c r="GO54" s="96"/>
      <c r="GP54" s="96"/>
      <c r="GU54" s="110"/>
      <c r="GV54" s="118"/>
      <c r="GW54" s="109"/>
      <c r="GX54" s="109"/>
      <c r="GY54" s="109"/>
      <c r="GZ54" s="109"/>
      <c r="HA54" s="110"/>
      <c r="HB54" s="101"/>
      <c r="HC54" s="96"/>
      <c r="HD54" s="96"/>
      <c r="HE54" s="96"/>
      <c r="HF54" s="96"/>
      <c r="HK54" s="110"/>
      <c r="HL54" s="118"/>
      <c r="HM54" s="109"/>
      <c r="HN54" s="109"/>
      <c r="HO54" s="109"/>
      <c r="HP54" s="109"/>
      <c r="HQ54" s="110"/>
      <c r="HR54" s="101"/>
      <c r="HS54" s="96"/>
      <c r="HT54" s="96"/>
      <c r="HU54" s="96"/>
      <c r="HV54" s="96"/>
      <c r="IA54" s="110"/>
      <c r="IB54" s="118"/>
      <c r="IC54" s="109"/>
      <c r="ID54" s="109"/>
      <c r="IE54" s="109"/>
      <c r="IF54" s="109"/>
      <c r="IG54" s="110"/>
      <c r="IH54" s="101"/>
      <c r="II54" s="96"/>
      <c r="IJ54" s="96"/>
      <c r="IK54" s="96"/>
      <c r="IL54" s="96"/>
      <c r="IQ54" s="110"/>
      <c r="IR54" s="118"/>
      <c r="IS54" s="109"/>
      <c r="IT54" s="109"/>
      <c r="IU54" s="109"/>
      <c r="IV54" s="109"/>
      <c r="IW54" s="110"/>
    </row>
    <row r="55" spans="1:257" s="82" customFormat="1" ht="16.5" thickBot="1" x14ac:dyDescent="0.3">
      <c r="A55" s="56"/>
      <c r="B55" s="95"/>
      <c r="C55" s="95"/>
      <c r="D55" s="442"/>
      <c r="E55" s="95"/>
      <c r="F55" s="119"/>
      <c r="G55" s="120"/>
      <c r="H55" s="121"/>
      <c r="I55" s="122"/>
      <c r="J55" s="121"/>
      <c r="K55" s="121"/>
      <c r="L55" s="121"/>
      <c r="M55" s="121"/>
      <c r="N55" s="121"/>
      <c r="O55" s="121"/>
      <c r="P55" s="121"/>
      <c r="Q55" s="121"/>
      <c r="R55" s="96"/>
      <c r="S55" s="96"/>
      <c r="T55" s="96"/>
      <c r="U55" s="96"/>
      <c r="V55" s="96"/>
      <c r="AA55" s="110"/>
      <c r="AB55" s="118"/>
      <c r="AC55" s="109"/>
      <c r="AD55" s="109"/>
      <c r="AE55" s="109"/>
      <c r="AF55" s="109"/>
      <c r="AG55" s="110"/>
      <c r="AH55" s="101"/>
      <c r="AI55" s="96"/>
      <c r="AJ55" s="96"/>
      <c r="AK55" s="96"/>
      <c r="AL55" s="96"/>
      <c r="AQ55" s="110"/>
      <c r="AR55" s="118"/>
      <c r="AS55" s="109"/>
      <c r="AT55" s="109"/>
      <c r="AU55" s="109"/>
      <c r="AV55" s="109"/>
      <c r="AW55" s="110"/>
      <c r="AX55" s="101"/>
      <c r="AY55" s="96"/>
      <c r="AZ55" s="96"/>
      <c r="BA55" s="96"/>
      <c r="BB55" s="96"/>
      <c r="BG55" s="110"/>
      <c r="BH55" s="118"/>
      <c r="BI55" s="109"/>
      <c r="BJ55" s="109"/>
      <c r="BK55" s="109"/>
      <c r="BL55" s="109"/>
      <c r="BM55" s="110"/>
      <c r="BN55" s="101"/>
      <c r="BO55" s="96"/>
      <c r="BP55" s="96"/>
      <c r="BQ55" s="96"/>
      <c r="BR55" s="96"/>
      <c r="BW55" s="110"/>
      <c r="BX55" s="118"/>
      <c r="BY55" s="109"/>
      <c r="BZ55" s="109"/>
      <c r="CA55" s="109"/>
      <c r="CB55" s="109"/>
      <c r="CC55" s="110"/>
      <c r="CD55" s="101"/>
      <c r="CE55" s="96"/>
      <c r="CF55" s="96"/>
      <c r="CG55" s="96"/>
      <c r="CH55" s="96"/>
      <c r="CM55" s="110"/>
      <c r="CN55" s="118"/>
      <c r="CO55" s="109"/>
      <c r="CP55" s="109"/>
      <c r="CQ55" s="109"/>
      <c r="CR55" s="109"/>
      <c r="CS55" s="110"/>
      <c r="CT55" s="101"/>
      <c r="CU55" s="96"/>
      <c r="CV55" s="96"/>
      <c r="CW55" s="96"/>
      <c r="CX55" s="96"/>
      <c r="DC55" s="110"/>
      <c r="DD55" s="118"/>
      <c r="DE55" s="109"/>
      <c r="DF55" s="109"/>
      <c r="DG55" s="109"/>
      <c r="DH55" s="109"/>
      <c r="DI55" s="110"/>
      <c r="DJ55" s="101"/>
      <c r="DK55" s="96"/>
      <c r="DL55" s="96"/>
      <c r="DM55" s="96"/>
      <c r="DN55" s="96"/>
      <c r="DS55" s="110"/>
      <c r="DT55" s="118"/>
      <c r="DU55" s="109"/>
      <c r="DV55" s="109"/>
      <c r="DW55" s="109"/>
      <c r="DX55" s="109"/>
      <c r="DY55" s="110"/>
      <c r="DZ55" s="101"/>
      <c r="EA55" s="96"/>
      <c r="EB55" s="96"/>
      <c r="EC55" s="96"/>
      <c r="ED55" s="96"/>
      <c r="EI55" s="110"/>
      <c r="EJ55" s="118"/>
      <c r="EK55" s="109"/>
      <c r="EL55" s="109"/>
      <c r="EM55" s="109"/>
      <c r="EN55" s="109"/>
      <c r="EO55" s="110"/>
      <c r="EP55" s="101"/>
      <c r="EQ55" s="96"/>
      <c r="ER55" s="96"/>
      <c r="ES55" s="96"/>
      <c r="ET55" s="96"/>
      <c r="EY55" s="110"/>
      <c r="EZ55" s="118"/>
      <c r="FA55" s="109"/>
      <c r="FB55" s="109"/>
      <c r="FC55" s="109"/>
      <c r="FD55" s="109"/>
      <c r="FE55" s="110"/>
      <c r="FF55" s="101"/>
      <c r="FG55" s="96"/>
      <c r="FH55" s="96"/>
      <c r="FI55" s="96"/>
      <c r="FJ55" s="96"/>
      <c r="FO55" s="110"/>
      <c r="FP55" s="118"/>
      <c r="FQ55" s="109"/>
      <c r="FR55" s="109"/>
      <c r="FS55" s="109"/>
      <c r="FT55" s="109"/>
      <c r="FU55" s="110"/>
      <c r="FV55" s="101"/>
      <c r="FW55" s="96"/>
      <c r="FX55" s="96"/>
      <c r="FY55" s="96"/>
      <c r="FZ55" s="96"/>
      <c r="GE55" s="110"/>
      <c r="GF55" s="118"/>
      <c r="GG55" s="109"/>
      <c r="GH55" s="109"/>
      <c r="GI55" s="109"/>
      <c r="GJ55" s="109"/>
      <c r="GK55" s="110"/>
      <c r="GL55" s="101"/>
      <c r="GM55" s="96"/>
      <c r="GN55" s="96"/>
      <c r="GO55" s="96"/>
      <c r="GP55" s="96"/>
      <c r="GU55" s="110"/>
      <c r="GV55" s="118"/>
      <c r="GW55" s="109"/>
      <c r="GX55" s="109"/>
      <c r="GY55" s="109"/>
      <c r="GZ55" s="109"/>
      <c r="HA55" s="110"/>
      <c r="HB55" s="101"/>
      <c r="HC55" s="96"/>
      <c r="HD55" s="96"/>
      <c r="HE55" s="96"/>
      <c r="HF55" s="96"/>
      <c r="HK55" s="110"/>
      <c r="HL55" s="118"/>
      <c r="HM55" s="109"/>
      <c r="HN55" s="109"/>
      <c r="HO55" s="109"/>
      <c r="HP55" s="109"/>
      <c r="HQ55" s="110"/>
      <c r="HR55" s="101"/>
      <c r="HS55" s="96"/>
      <c r="HT55" s="96"/>
      <c r="HU55" s="96"/>
      <c r="HV55" s="96"/>
      <c r="IA55" s="110"/>
      <c r="IB55" s="118"/>
      <c r="IC55" s="109"/>
      <c r="ID55" s="109"/>
      <c r="IE55" s="109"/>
      <c r="IF55" s="109"/>
      <c r="IG55" s="110"/>
      <c r="IH55" s="101"/>
      <c r="II55" s="96"/>
      <c r="IJ55" s="96"/>
      <c r="IK55" s="96"/>
      <c r="IL55" s="96"/>
      <c r="IQ55" s="110"/>
      <c r="IR55" s="118"/>
      <c r="IS55" s="109"/>
      <c r="IT55" s="109"/>
      <c r="IU55" s="109"/>
      <c r="IV55" s="109"/>
      <c r="IW55" s="110"/>
    </row>
    <row r="56" spans="1:257" s="82" customFormat="1" ht="16.5" thickTop="1" x14ac:dyDescent="0.25">
      <c r="A56" s="58" t="s">
        <v>186</v>
      </c>
      <c r="B56" s="59"/>
      <c r="C56" s="59"/>
      <c r="D56" s="59"/>
      <c r="E56" s="59"/>
      <c r="F56" s="59"/>
      <c r="G56" s="59"/>
      <c r="H56" s="59"/>
      <c r="I56" s="59"/>
      <c r="J56" s="59"/>
      <c r="K56" s="123"/>
      <c r="L56" s="59"/>
      <c r="M56" s="59"/>
      <c r="N56" s="59"/>
      <c r="O56" s="59"/>
      <c r="P56" s="59"/>
      <c r="Q56" s="124"/>
      <c r="AB56" s="81"/>
      <c r="AH56" s="124"/>
      <c r="AR56" s="81"/>
      <c r="AX56" s="124"/>
      <c r="BH56" s="81"/>
      <c r="BN56" s="124"/>
      <c r="BX56" s="81"/>
      <c r="CD56" s="124"/>
      <c r="CN56" s="81"/>
      <c r="CT56" s="124"/>
      <c r="DD56" s="81"/>
      <c r="DJ56" s="124"/>
      <c r="DT56" s="81"/>
      <c r="DZ56" s="124"/>
      <c r="EJ56" s="81"/>
      <c r="EP56" s="124"/>
      <c r="EZ56" s="81"/>
      <c r="FF56" s="124"/>
      <c r="FP56" s="81"/>
      <c r="FV56" s="124"/>
      <c r="GF56" s="81"/>
      <c r="GL56" s="124"/>
      <c r="GV56" s="81"/>
      <c r="HB56" s="124"/>
      <c r="HL56" s="81"/>
      <c r="HR56" s="124"/>
      <c r="IB56" s="81"/>
      <c r="IH56" s="124"/>
      <c r="IR56" s="81"/>
    </row>
    <row r="57" spans="1:257" s="82" customFormat="1" ht="13.5" thickBot="1" x14ac:dyDescent="0.25">
      <c r="A57" s="49"/>
      <c r="B57" s="48"/>
      <c r="C57" s="48"/>
      <c r="D57" s="48"/>
      <c r="E57" s="48"/>
      <c r="F57" s="48"/>
      <c r="G57" s="48"/>
      <c r="H57" s="48"/>
      <c r="I57" s="48"/>
      <c r="J57" s="48"/>
      <c r="K57" s="63"/>
      <c r="L57" s="48"/>
      <c r="M57" s="48"/>
      <c r="N57" s="48"/>
      <c r="O57" s="48"/>
      <c r="P57" s="48"/>
      <c r="Q57" s="88"/>
      <c r="AB57" s="81"/>
      <c r="AH57" s="88"/>
      <c r="AR57" s="81"/>
      <c r="AX57" s="88"/>
      <c r="BH57" s="81"/>
      <c r="BN57" s="88"/>
      <c r="BX57" s="81"/>
      <c r="CD57" s="88"/>
      <c r="CN57" s="81"/>
      <c r="CT57" s="88"/>
      <c r="DD57" s="81"/>
      <c r="DJ57" s="88"/>
      <c r="DT57" s="81"/>
      <c r="DZ57" s="88"/>
      <c r="EJ57" s="81"/>
      <c r="EP57" s="88"/>
      <c r="EZ57" s="81"/>
      <c r="FF57" s="88"/>
      <c r="FP57" s="81"/>
      <c r="FV57" s="88"/>
      <c r="GF57" s="81"/>
      <c r="GL57" s="88"/>
      <c r="GV57" s="81"/>
      <c r="HB57" s="88"/>
      <c r="HL57" s="81"/>
      <c r="HR57" s="88"/>
      <c r="IB57" s="81"/>
      <c r="IH57" s="88"/>
      <c r="IR57" s="81"/>
    </row>
    <row r="58" spans="1:257" s="82" customFormat="1" ht="12.75" customHeight="1" x14ac:dyDescent="0.2">
      <c r="A58" s="2490" t="s">
        <v>1331</v>
      </c>
      <c r="B58" s="2491"/>
      <c r="C58" s="2491"/>
      <c r="D58" s="2491"/>
      <c r="E58" s="2491"/>
      <c r="F58" s="2491"/>
      <c r="G58" s="2491"/>
      <c r="H58" s="2491"/>
      <c r="I58" s="2491"/>
      <c r="J58" s="2491"/>
      <c r="K58" s="2491"/>
      <c r="L58" s="2491"/>
      <c r="M58" s="2491"/>
      <c r="N58" s="2491"/>
      <c r="O58" s="2491"/>
      <c r="P58" s="2492"/>
      <c r="Q58" s="125"/>
      <c r="R58" s="126"/>
      <c r="S58" s="126"/>
      <c r="T58" s="126"/>
      <c r="U58" s="126"/>
      <c r="V58" s="126"/>
      <c r="W58" s="126"/>
      <c r="X58" s="126"/>
      <c r="Y58" s="126"/>
      <c r="Z58" s="126"/>
      <c r="AA58" s="126"/>
      <c r="AB58" s="126"/>
      <c r="AC58" s="126"/>
      <c r="AD58" s="126"/>
      <c r="AE58" s="126"/>
      <c r="AF58" s="126"/>
      <c r="AG58" s="126"/>
      <c r="AH58" s="125"/>
      <c r="AI58" s="126"/>
      <c r="AJ58" s="126"/>
      <c r="AK58" s="126"/>
      <c r="AL58" s="126"/>
      <c r="AM58" s="126"/>
      <c r="AN58" s="126"/>
      <c r="AO58" s="126"/>
      <c r="AP58" s="126"/>
      <c r="AQ58" s="126"/>
      <c r="AR58" s="126"/>
      <c r="AS58" s="126"/>
      <c r="AT58" s="126"/>
      <c r="AU58" s="126"/>
      <c r="AV58" s="126"/>
      <c r="AW58" s="126"/>
      <c r="AX58" s="125"/>
      <c r="AY58" s="126"/>
      <c r="AZ58" s="126"/>
      <c r="BA58" s="126"/>
      <c r="BB58" s="126"/>
      <c r="BC58" s="126"/>
      <c r="BD58" s="126"/>
      <c r="BE58" s="126"/>
      <c r="BF58" s="126"/>
      <c r="BG58" s="126"/>
      <c r="BH58" s="126"/>
      <c r="BI58" s="126"/>
      <c r="BJ58" s="126"/>
      <c r="BK58" s="126"/>
      <c r="BL58" s="126"/>
      <c r="BM58" s="126"/>
      <c r="BN58" s="125"/>
      <c r="BO58" s="126"/>
      <c r="BP58" s="126"/>
      <c r="BQ58" s="126"/>
      <c r="BR58" s="126"/>
      <c r="BS58" s="126"/>
      <c r="BT58" s="126"/>
      <c r="BU58" s="126"/>
      <c r="BV58" s="126"/>
      <c r="BW58" s="126"/>
      <c r="BX58" s="126"/>
      <c r="BY58" s="126"/>
      <c r="BZ58" s="126"/>
      <c r="CA58" s="126"/>
      <c r="CB58" s="126"/>
      <c r="CC58" s="126"/>
      <c r="CD58" s="125"/>
      <c r="CE58" s="126"/>
      <c r="CF58" s="126"/>
      <c r="CG58" s="126"/>
      <c r="CH58" s="126"/>
      <c r="CI58" s="126"/>
      <c r="CJ58" s="126"/>
      <c r="CK58" s="126"/>
      <c r="CL58" s="126"/>
      <c r="CM58" s="126"/>
      <c r="CN58" s="126"/>
      <c r="CO58" s="126"/>
      <c r="CP58" s="126"/>
      <c r="CQ58" s="126"/>
      <c r="CR58" s="126"/>
      <c r="CS58" s="126"/>
      <c r="CT58" s="125"/>
      <c r="CU58" s="126"/>
      <c r="CV58" s="126"/>
      <c r="CW58" s="126"/>
      <c r="CX58" s="126"/>
      <c r="CY58" s="126"/>
      <c r="CZ58" s="126"/>
      <c r="DA58" s="126"/>
      <c r="DB58" s="126"/>
      <c r="DC58" s="126"/>
      <c r="DD58" s="126"/>
      <c r="DE58" s="126"/>
      <c r="DF58" s="126"/>
      <c r="DG58" s="126"/>
      <c r="DH58" s="126"/>
      <c r="DI58" s="126"/>
      <c r="DJ58" s="125"/>
      <c r="DK58" s="126"/>
      <c r="DL58" s="126"/>
      <c r="DM58" s="126"/>
      <c r="DN58" s="126"/>
      <c r="DO58" s="126"/>
      <c r="DP58" s="126"/>
      <c r="DQ58" s="126"/>
      <c r="DR58" s="126"/>
      <c r="DS58" s="126"/>
      <c r="DT58" s="126"/>
      <c r="DU58" s="126"/>
      <c r="DV58" s="126"/>
      <c r="DW58" s="126"/>
      <c r="DX58" s="126"/>
      <c r="DY58" s="126"/>
      <c r="DZ58" s="125"/>
      <c r="EA58" s="126"/>
      <c r="EB58" s="126"/>
      <c r="EC58" s="126"/>
      <c r="ED58" s="126"/>
      <c r="EE58" s="126"/>
      <c r="EF58" s="126"/>
      <c r="EG58" s="126"/>
      <c r="EH58" s="126"/>
      <c r="EI58" s="126"/>
      <c r="EJ58" s="126"/>
      <c r="EK58" s="126"/>
      <c r="EL58" s="126"/>
      <c r="EM58" s="126"/>
      <c r="EN58" s="126"/>
      <c r="EO58" s="126"/>
      <c r="EP58" s="125"/>
      <c r="EQ58" s="126"/>
      <c r="ER58" s="126"/>
      <c r="ES58" s="126"/>
      <c r="ET58" s="126"/>
      <c r="EU58" s="126"/>
      <c r="EV58" s="126"/>
      <c r="EW58" s="126"/>
      <c r="EX58" s="126"/>
      <c r="EY58" s="126"/>
      <c r="EZ58" s="126"/>
      <c r="FA58" s="126"/>
      <c r="FB58" s="126"/>
      <c r="FC58" s="126"/>
      <c r="FD58" s="126"/>
      <c r="FE58" s="126"/>
      <c r="FF58" s="125"/>
      <c r="FG58" s="126"/>
      <c r="FH58" s="126"/>
      <c r="FI58" s="126"/>
      <c r="FJ58" s="126"/>
      <c r="FK58" s="126"/>
      <c r="FL58" s="126"/>
      <c r="FM58" s="126"/>
      <c r="FN58" s="126"/>
      <c r="FO58" s="126"/>
      <c r="FP58" s="126"/>
      <c r="FQ58" s="126"/>
      <c r="FR58" s="126"/>
      <c r="FS58" s="126"/>
      <c r="FT58" s="126"/>
      <c r="FU58" s="126"/>
      <c r="FV58" s="125"/>
      <c r="FW58" s="126"/>
      <c r="FX58" s="126"/>
      <c r="FY58" s="126"/>
      <c r="FZ58" s="126"/>
      <c r="GA58" s="126"/>
      <c r="GB58" s="126"/>
      <c r="GC58" s="126"/>
      <c r="GD58" s="126"/>
      <c r="GE58" s="126"/>
      <c r="GF58" s="126"/>
      <c r="GG58" s="126"/>
      <c r="GH58" s="126"/>
      <c r="GI58" s="126"/>
      <c r="GJ58" s="126"/>
      <c r="GK58" s="126"/>
      <c r="GL58" s="125"/>
      <c r="GM58" s="126"/>
      <c r="GN58" s="126"/>
      <c r="GO58" s="126"/>
      <c r="GP58" s="126"/>
      <c r="GQ58" s="126"/>
      <c r="GR58" s="126"/>
      <c r="GS58" s="126"/>
      <c r="GT58" s="126"/>
      <c r="GU58" s="126"/>
      <c r="GV58" s="126"/>
      <c r="GW58" s="126"/>
      <c r="GX58" s="126"/>
      <c r="GY58" s="126"/>
      <c r="GZ58" s="126"/>
      <c r="HA58" s="126"/>
      <c r="HB58" s="125"/>
      <c r="HC58" s="126"/>
      <c r="HD58" s="126"/>
      <c r="HE58" s="126"/>
      <c r="HF58" s="126"/>
      <c r="HG58" s="126"/>
      <c r="HH58" s="126"/>
      <c r="HI58" s="126"/>
      <c r="HJ58" s="126"/>
      <c r="HK58" s="126"/>
      <c r="HL58" s="126"/>
      <c r="HM58" s="126"/>
      <c r="HN58" s="126"/>
      <c r="HO58" s="126"/>
      <c r="HP58" s="126"/>
      <c r="HQ58" s="126"/>
      <c r="HR58" s="125"/>
      <c r="HS58" s="126"/>
      <c r="HT58" s="126"/>
      <c r="HU58" s="126"/>
      <c r="HV58" s="126"/>
      <c r="HW58" s="126"/>
      <c r="HX58" s="126"/>
      <c r="HY58" s="126"/>
      <c r="HZ58" s="126"/>
      <c r="IA58" s="126"/>
      <c r="IB58" s="126"/>
      <c r="IC58" s="126"/>
      <c r="ID58" s="126"/>
      <c r="IE58" s="126"/>
      <c r="IF58" s="126"/>
      <c r="IG58" s="126"/>
      <c r="IH58" s="125"/>
      <c r="II58" s="126"/>
      <c r="IJ58" s="126"/>
      <c r="IK58" s="126"/>
      <c r="IL58" s="126"/>
      <c r="IM58" s="126"/>
      <c r="IN58" s="126"/>
      <c r="IO58" s="126"/>
      <c r="IP58" s="126"/>
      <c r="IQ58" s="126"/>
      <c r="IR58" s="126"/>
      <c r="IS58" s="126"/>
      <c r="IT58" s="126"/>
      <c r="IU58" s="126"/>
      <c r="IV58" s="126"/>
      <c r="IW58" s="126"/>
    </row>
    <row r="59" spans="1:257" s="82" customFormat="1" ht="214.5" customHeight="1" thickBot="1" x14ac:dyDescent="0.25">
      <c r="A59" s="2493"/>
      <c r="B59" s="2494"/>
      <c r="C59" s="2494"/>
      <c r="D59" s="2494"/>
      <c r="E59" s="2494"/>
      <c r="F59" s="2494"/>
      <c r="G59" s="2494"/>
      <c r="H59" s="2494"/>
      <c r="I59" s="2494"/>
      <c r="J59" s="2494"/>
      <c r="K59" s="2494"/>
      <c r="L59" s="2494"/>
      <c r="M59" s="2494"/>
      <c r="N59" s="2494"/>
      <c r="O59" s="2494"/>
      <c r="P59" s="2495"/>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126"/>
      <c r="CQ59" s="126"/>
      <c r="CR59" s="12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126"/>
      <c r="GE59" s="126"/>
      <c r="GF59" s="126"/>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row>
    <row r="60" spans="1:257" s="82" customFormat="1" x14ac:dyDescent="0.2">
      <c r="A60" s="49"/>
      <c r="B60" s="48"/>
      <c r="C60" s="48"/>
      <c r="D60" s="48"/>
      <c r="E60" s="48"/>
      <c r="F60" s="48"/>
      <c r="G60" s="48"/>
      <c r="H60" s="48"/>
      <c r="I60" s="48"/>
      <c r="J60" s="48"/>
      <c r="K60" s="63"/>
      <c r="L60" s="48"/>
      <c r="M60" s="48"/>
      <c r="N60" s="48"/>
      <c r="O60" s="48"/>
      <c r="P60" s="48"/>
      <c r="Q60" s="88"/>
      <c r="AB60" s="81"/>
      <c r="AH60" s="88"/>
      <c r="AR60" s="81"/>
      <c r="AX60" s="88"/>
      <c r="BH60" s="81"/>
      <c r="BN60" s="88"/>
      <c r="BX60" s="81"/>
      <c r="CD60" s="88"/>
      <c r="CN60" s="81"/>
      <c r="CT60" s="88"/>
      <c r="DD60" s="81"/>
      <c r="DJ60" s="88"/>
      <c r="DT60" s="81"/>
      <c r="DZ60" s="88"/>
      <c r="EJ60" s="81"/>
      <c r="EP60" s="88"/>
      <c r="EZ60" s="81"/>
      <c r="FF60" s="88"/>
      <c r="FP60" s="81"/>
      <c r="FV60" s="88"/>
      <c r="GF60" s="81"/>
      <c r="GL60" s="88"/>
      <c r="GV60" s="81"/>
      <c r="HB60" s="88"/>
      <c r="HL60" s="81"/>
      <c r="HR60" s="88"/>
      <c r="IB60" s="81"/>
      <c r="IH60" s="88"/>
      <c r="IR60" s="81"/>
    </row>
    <row r="61" spans="1:257" s="82" customFormat="1" x14ac:dyDescent="0.2">
      <c r="A61" s="61"/>
      <c r="B61" s="48"/>
      <c r="C61" s="48"/>
      <c r="D61" s="48"/>
      <c r="E61" s="48"/>
      <c r="F61" s="48"/>
      <c r="G61" s="48"/>
      <c r="H61" s="48"/>
      <c r="I61" s="48"/>
      <c r="J61" s="48"/>
      <c r="K61" s="63"/>
      <c r="L61" s="48"/>
      <c r="M61" s="48"/>
      <c r="N61" s="48"/>
      <c r="O61" s="48"/>
      <c r="P61" s="48"/>
      <c r="Q61" s="127"/>
      <c r="AB61" s="81"/>
      <c r="AH61" s="127"/>
      <c r="AR61" s="81"/>
      <c r="AX61" s="127"/>
      <c r="BH61" s="81"/>
      <c r="BN61" s="127"/>
      <c r="BX61" s="81"/>
      <c r="CD61" s="127"/>
      <c r="CN61" s="81"/>
      <c r="CT61" s="127"/>
      <c r="DD61" s="81"/>
      <c r="DJ61" s="127"/>
      <c r="DT61" s="81"/>
      <c r="DZ61" s="127"/>
      <c r="EJ61" s="81"/>
      <c r="EP61" s="127"/>
      <c r="EZ61" s="81"/>
      <c r="FF61" s="127"/>
      <c r="FP61" s="81"/>
      <c r="FV61" s="127"/>
      <c r="GF61" s="81"/>
      <c r="GL61" s="127"/>
      <c r="GV61" s="81"/>
      <c r="HB61" s="127"/>
      <c r="HL61" s="81"/>
      <c r="HR61" s="127"/>
      <c r="IB61" s="81"/>
      <c r="IH61" s="127"/>
      <c r="IR61" s="81"/>
    </row>
    <row r="62" spans="1:257" s="82" customFormat="1" ht="13.5" thickBot="1" x14ac:dyDescent="0.25">
      <c r="A62" s="60"/>
      <c r="B62" s="57"/>
      <c r="C62" s="57"/>
      <c r="D62" s="57"/>
      <c r="E62" s="57"/>
      <c r="F62" s="57"/>
      <c r="G62" s="57"/>
      <c r="H62" s="57"/>
      <c r="I62" s="57"/>
      <c r="J62" s="57"/>
      <c r="K62" s="66"/>
      <c r="L62" s="57"/>
      <c r="M62" s="57"/>
      <c r="N62" s="57"/>
      <c r="O62" s="57"/>
      <c r="P62" s="57"/>
      <c r="Q62" s="127"/>
      <c r="AB62" s="81"/>
      <c r="AH62" s="127"/>
      <c r="AR62" s="81"/>
      <c r="AX62" s="127"/>
      <c r="BH62" s="81"/>
      <c r="BN62" s="127"/>
      <c r="BX62" s="81"/>
      <c r="CD62" s="127"/>
      <c r="CN62" s="81"/>
      <c r="CT62" s="127"/>
      <c r="DD62" s="81"/>
      <c r="DJ62" s="127"/>
      <c r="DT62" s="81"/>
      <c r="DZ62" s="127"/>
      <c r="EJ62" s="81"/>
      <c r="EP62" s="127"/>
      <c r="EZ62" s="81"/>
      <c r="FF62" s="127"/>
      <c r="FP62" s="81"/>
      <c r="FV62" s="127"/>
      <c r="GF62" s="81"/>
      <c r="GL62" s="127"/>
      <c r="GV62" s="81"/>
      <c r="HB62" s="127"/>
      <c r="HL62" s="81"/>
      <c r="HR62" s="127"/>
      <c r="IB62" s="81"/>
      <c r="IH62" s="127"/>
      <c r="IR62" s="81"/>
    </row>
    <row r="63" spans="1:257" ht="13.5" thickTop="1" x14ac:dyDescent="0.2">
      <c r="A63" s="128"/>
      <c r="B63" s="59"/>
      <c r="C63" s="59"/>
      <c r="D63" s="59"/>
      <c r="E63" s="59"/>
      <c r="F63" s="59"/>
      <c r="G63" s="59"/>
      <c r="H63" s="59"/>
      <c r="I63" s="59"/>
      <c r="J63" s="59"/>
      <c r="K63" s="59"/>
      <c r="L63" s="59"/>
      <c r="M63" s="59"/>
      <c r="N63" s="59"/>
      <c r="O63" s="59"/>
      <c r="P63" s="129"/>
      <c r="Q63" s="130"/>
    </row>
    <row r="64" spans="1:257" ht="15.75" x14ac:dyDescent="0.25">
      <c r="A64" s="131" t="s">
        <v>187</v>
      </c>
      <c r="P64" s="130"/>
      <c r="Q64" s="130"/>
    </row>
    <row r="65" spans="1:17" ht="13.5" thickBot="1" x14ac:dyDescent="0.25">
      <c r="A65" s="132"/>
      <c r="P65" s="130"/>
      <c r="Q65" s="130"/>
    </row>
    <row r="66" spans="1:17" ht="12.75" customHeight="1" x14ac:dyDescent="0.2">
      <c r="A66" s="2496" t="s">
        <v>188</v>
      </c>
      <c r="B66" s="2497"/>
      <c r="C66" s="2497"/>
      <c r="D66" s="2497"/>
      <c r="E66" s="2497"/>
      <c r="F66" s="2497"/>
      <c r="G66" s="2497"/>
      <c r="H66" s="2497"/>
      <c r="I66" s="2497"/>
      <c r="J66" s="2497"/>
      <c r="K66" s="2497"/>
      <c r="L66" s="2497"/>
      <c r="M66" s="2497"/>
      <c r="N66" s="2497"/>
      <c r="O66" s="2497"/>
      <c r="P66" s="2497"/>
      <c r="Q66" s="130"/>
    </row>
    <row r="67" spans="1:17" ht="13.5" thickBot="1" x14ac:dyDescent="0.25">
      <c r="A67" s="133"/>
      <c r="B67" s="133"/>
      <c r="C67" s="133"/>
      <c r="D67" s="133"/>
      <c r="E67" s="133"/>
      <c r="F67" s="133"/>
      <c r="G67" s="133"/>
      <c r="H67" s="133"/>
      <c r="I67" s="133"/>
      <c r="J67" s="133"/>
      <c r="K67" s="133"/>
      <c r="L67" s="133"/>
      <c r="M67" s="133"/>
      <c r="N67" s="133"/>
      <c r="O67" s="133"/>
      <c r="P67" s="133"/>
      <c r="Q67" s="130"/>
    </row>
    <row r="68" spans="1:17" ht="13.5" thickBot="1" x14ac:dyDescent="0.25">
      <c r="A68" s="134"/>
      <c r="B68" s="57"/>
      <c r="C68" s="57"/>
      <c r="D68" s="57"/>
      <c r="E68" s="57"/>
      <c r="F68" s="57"/>
      <c r="G68" s="57"/>
      <c r="H68" s="57"/>
      <c r="I68" s="57"/>
      <c r="J68" s="57"/>
      <c r="K68" s="57"/>
      <c r="L68" s="57"/>
      <c r="M68" s="57"/>
      <c r="N68" s="57"/>
      <c r="O68" s="57"/>
      <c r="P68" s="135"/>
      <c r="Q68" s="135"/>
    </row>
    <row r="69" spans="1:17" ht="13.5" thickTop="1" x14ac:dyDescent="0.2"/>
  </sheetData>
  <mergeCells count="36">
    <mergeCell ref="B11:K11"/>
    <mergeCell ref="A1:C1"/>
    <mergeCell ref="D1:P1"/>
    <mergeCell ref="G3:H3"/>
    <mergeCell ref="B8:K8"/>
    <mergeCell ref="B10:K10"/>
    <mergeCell ref="B12:C12"/>
    <mergeCell ref="B13:K13"/>
    <mergeCell ref="A15:F15"/>
    <mergeCell ref="F21:P21"/>
    <mergeCell ref="F22:G22"/>
    <mergeCell ref="A58:P59"/>
    <mergeCell ref="A66:P66"/>
    <mergeCell ref="B50:C50"/>
    <mergeCell ref="B37:C37"/>
    <mergeCell ref="A38:A40"/>
    <mergeCell ref="B38:B40"/>
    <mergeCell ref="B41:C41"/>
    <mergeCell ref="B42:C42"/>
    <mergeCell ref="B44:C44"/>
    <mergeCell ref="B45:C45"/>
    <mergeCell ref="B46:C46"/>
    <mergeCell ref="B47:C47"/>
    <mergeCell ref="B48:C48"/>
    <mergeCell ref="B49:C49"/>
    <mergeCell ref="S17:S18"/>
    <mergeCell ref="A36:F36"/>
    <mergeCell ref="B51:C51"/>
    <mergeCell ref="B52:C52"/>
    <mergeCell ref="B53:C53"/>
    <mergeCell ref="F23:G23"/>
    <mergeCell ref="F24:G24"/>
    <mergeCell ref="F25:G25"/>
    <mergeCell ref="F26:G26"/>
    <mergeCell ref="F27:G27"/>
    <mergeCell ref="M27:N27"/>
  </mergeCells>
  <pageMargins left="0.31496062992125984" right="0.19685039370078741" top="0.19685039370078741" bottom="0.27559055118110237" header="0.19685039370078741" footer="0"/>
  <pageSetup paperSize="119" scale="50" orientation="landscape" horizontalDpi="360" verticalDpi="36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A23" zoomScale="80" zoomScaleNormal="80" workbookViewId="0">
      <selection activeCell="B26" sqref="B26:N26"/>
    </sheetView>
  </sheetViews>
  <sheetFormatPr baseColWidth="10" defaultRowHeight="12.75" x14ac:dyDescent="0.2"/>
  <cols>
    <col min="1" max="1" width="6.85546875" style="480" customWidth="1"/>
    <col min="2" max="2" width="34.5703125" style="480" customWidth="1"/>
    <col min="3" max="4" width="11" style="480" customWidth="1"/>
    <col min="5" max="5" width="16.85546875" style="480" customWidth="1"/>
    <col min="6" max="6" width="13.140625" style="480" customWidth="1"/>
    <col min="7" max="7" width="12.140625" style="480" customWidth="1"/>
    <col min="8" max="8" width="12.42578125" style="480" customWidth="1"/>
    <col min="9" max="9" width="11" style="480" customWidth="1"/>
    <col min="10" max="10" width="11.28515625" style="480" customWidth="1"/>
    <col min="11" max="11" width="18" style="480" customWidth="1"/>
    <col min="12" max="12" width="13" style="544" customWidth="1"/>
    <col min="13" max="13" width="13.42578125" style="544" customWidth="1"/>
    <col min="14" max="14" width="21" style="480" customWidth="1"/>
    <col min="15" max="16384" width="11.42578125" style="480"/>
  </cols>
  <sheetData>
    <row r="1" spans="1:14" ht="34.5" customHeight="1" thickBot="1" x14ac:dyDescent="0.25">
      <c r="B1" s="2526" t="s">
        <v>612</v>
      </c>
      <c r="C1" s="2527"/>
      <c r="D1" s="2527"/>
      <c r="E1" s="2527"/>
      <c r="F1" s="2527"/>
      <c r="G1" s="2527"/>
      <c r="H1" s="2527"/>
      <c r="I1" s="2527"/>
      <c r="J1" s="2527"/>
      <c r="K1" s="2527"/>
      <c r="L1" s="2527"/>
      <c r="M1" s="2527"/>
      <c r="N1" s="2528"/>
    </row>
    <row r="2" spans="1:14" ht="39" customHeight="1" x14ac:dyDescent="0.2">
      <c r="B2" s="2529" t="s">
        <v>79</v>
      </c>
      <c r="C2" s="2532" t="s">
        <v>838</v>
      </c>
      <c r="D2" s="2532"/>
      <c r="E2" s="2532"/>
      <c r="F2" s="2532"/>
      <c r="G2" s="2532"/>
      <c r="H2" s="2533"/>
      <c r="I2" s="2532" t="s">
        <v>976</v>
      </c>
      <c r="J2" s="2532"/>
      <c r="K2" s="2532"/>
      <c r="L2" s="2532"/>
      <c r="M2" s="2532"/>
      <c r="N2" s="2533"/>
    </row>
    <row r="3" spans="1:14" ht="36" customHeight="1" x14ac:dyDescent="0.2">
      <c r="B3" s="2530"/>
      <c r="C3" s="2534">
        <v>2021</v>
      </c>
      <c r="D3" s="2535"/>
      <c r="E3" s="2536" t="s">
        <v>613</v>
      </c>
      <c r="F3" s="2537"/>
      <c r="G3" s="2538"/>
      <c r="H3" s="2539" t="s">
        <v>614</v>
      </c>
      <c r="I3" s="2534">
        <v>2022</v>
      </c>
      <c r="J3" s="2535"/>
      <c r="K3" s="2536" t="s">
        <v>613</v>
      </c>
      <c r="L3" s="2537"/>
      <c r="M3" s="2538"/>
      <c r="N3" s="2539" t="s">
        <v>614</v>
      </c>
    </row>
    <row r="4" spans="1:14" ht="59.25" customHeight="1" thickBot="1" x14ac:dyDescent="0.25">
      <c r="B4" s="2531"/>
      <c r="C4" s="957" t="s">
        <v>607</v>
      </c>
      <c r="D4" s="957" t="s">
        <v>608</v>
      </c>
      <c r="E4" s="957" t="s">
        <v>615</v>
      </c>
      <c r="F4" s="957" t="s">
        <v>196</v>
      </c>
      <c r="G4" s="957" t="s">
        <v>195</v>
      </c>
      <c r="H4" s="2540"/>
      <c r="I4" s="957" t="s">
        <v>607</v>
      </c>
      <c r="J4" s="957" t="s">
        <v>608</v>
      </c>
      <c r="K4" s="957" t="s">
        <v>615</v>
      </c>
      <c r="L4" s="958" t="s">
        <v>196</v>
      </c>
      <c r="M4" s="958" t="s">
        <v>195</v>
      </c>
      <c r="N4" s="2540"/>
    </row>
    <row r="5" spans="1:14" ht="20.25" x14ac:dyDescent="0.2">
      <c r="A5" s="544">
        <v>1</v>
      </c>
      <c r="B5" s="959" t="s">
        <v>471</v>
      </c>
      <c r="C5" s="960">
        <v>0</v>
      </c>
      <c r="D5" s="960">
        <v>0</v>
      </c>
      <c r="E5" s="960">
        <f>F5+G5</f>
        <v>0</v>
      </c>
      <c r="F5" s="961"/>
      <c r="G5" s="961"/>
      <c r="H5" s="962"/>
      <c r="I5" s="960">
        <v>0</v>
      </c>
      <c r="J5" s="960">
        <v>0</v>
      </c>
      <c r="K5" s="960">
        <f>L5+M5</f>
        <v>0</v>
      </c>
      <c r="L5" s="961"/>
      <c r="M5" s="961"/>
      <c r="N5" s="963"/>
    </row>
    <row r="6" spans="1:14" ht="20.25" x14ac:dyDescent="0.2">
      <c r="A6" s="544">
        <f>A5+1</f>
        <v>2</v>
      </c>
      <c r="B6" s="778" t="s">
        <v>472</v>
      </c>
      <c r="C6" s="445">
        <v>0</v>
      </c>
      <c r="D6" s="445">
        <v>1</v>
      </c>
      <c r="E6" s="445">
        <f t="shared" ref="E6:E23" si="0">F6+G6</f>
        <v>1</v>
      </c>
      <c r="F6" s="692">
        <v>1</v>
      </c>
      <c r="G6" s="692">
        <v>0</v>
      </c>
      <c r="H6" s="1011">
        <f>F6/E6</f>
        <v>1</v>
      </c>
      <c r="I6" s="445">
        <v>0</v>
      </c>
      <c r="J6" s="445">
        <v>0</v>
      </c>
      <c r="K6" s="445">
        <f>L6+M6</f>
        <v>0</v>
      </c>
      <c r="L6" s="692"/>
      <c r="M6" s="692"/>
      <c r="N6" s="964"/>
    </row>
    <row r="7" spans="1:14" ht="20.25" x14ac:dyDescent="0.2">
      <c r="A7" s="2522">
        <f t="shared" ref="A7:A24" si="1">A6+1</f>
        <v>3</v>
      </c>
      <c r="B7" s="778" t="s">
        <v>597</v>
      </c>
      <c r="C7" s="445">
        <v>0</v>
      </c>
      <c r="D7" s="445">
        <v>2</v>
      </c>
      <c r="E7" s="445">
        <f t="shared" si="0"/>
        <v>2</v>
      </c>
      <c r="F7" s="692">
        <v>2</v>
      </c>
      <c r="G7" s="692">
        <v>0</v>
      </c>
      <c r="H7" s="2523">
        <f>3/3</f>
        <v>1</v>
      </c>
      <c r="I7" s="445">
        <v>2</v>
      </c>
      <c r="J7" s="445">
        <v>3</v>
      </c>
      <c r="K7" s="445">
        <f t="shared" ref="K7:K24" si="2">L7+M7</f>
        <v>6</v>
      </c>
      <c r="L7" s="445">
        <v>6</v>
      </c>
      <c r="M7" s="445">
        <v>0</v>
      </c>
      <c r="N7" s="965">
        <v>1</v>
      </c>
    </row>
    <row r="8" spans="1:14" ht="15" customHeight="1" x14ac:dyDescent="0.2">
      <c r="A8" s="2522"/>
      <c r="B8" s="778" t="s">
        <v>598</v>
      </c>
      <c r="C8" s="445">
        <v>0</v>
      </c>
      <c r="D8" s="445">
        <v>0</v>
      </c>
      <c r="E8" s="445">
        <f t="shared" si="0"/>
        <v>0</v>
      </c>
      <c r="F8" s="692"/>
      <c r="G8" s="692"/>
      <c r="H8" s="2523"/>
      <c r="I8" s="445">
        <v>0</v>
      </c>
      <c r="J8" s="445">
        <v>1</v>
      </c>
      <c r="K8" s="445">
        <f t="shared" si="2"/>
        <v>3</v>
      </c>
      <c r="L8" s="445">
        <v>3</v>
      </c>
      <c r="M8" s="445">
        <v>0</v>
      </c>
      <c r="N8" s="965">
        <f>L8/K8</f>
        <v>1</v>
      </c>
    </row>
    <row r="9" spans="1:14" ht="24" customHeight="1" x14ac:dyDescent="0.2">
      <c r="A9" s="2522"/>
      <c r="B9" s="778" t="s">
        <v>706</v>
      </c>
      <c r="C9" s="445">
        <v>1</v>
      </c>
      <c r="D9" s="445">
        <v>3</v>
      </c>
      <c r="E9" s="445">
        <f t="shared" si="0"/>
        <v>6</v>
      </c>
      <c r="F9" s="692">
        <v>6</v>
      </c>
      <c r="G9" s="692">
        <v>0</v>
      </c>
      <c r="H9" s="2523"/>
      <c r="I9" s="445">
        <v>2</v>
      </c>
      <c r="J9" s="445">
        <v>2</v>
      </c>
      <c r="K9" s="445">
        <f t="shared" si="2"/>
        <v>4</v>
      </c>
      <c r="L9" s="445">
        <v>4</v>
      </c>
      <c r="M9" s="445">
        <v>0</v>
      </c>
      <c r="N9" s="965">
        <f>L9/K9</f>
        <v>1</v>
      </c>
    </row>
    <row r="10" spans="1:14" ht="29.25" customHeight="1" x14ac:dyDescent="0.2">
      <c r="A10" s="2522"/>
      <c r="B10" s="778" t="s">
        <v>734</v>
      </c>
      <c r="C10" s="445">
        <v>0</v>
      </c>
      <c r="D10" s="445">
        <v>0</v>
      </c>
      <c r="E10" s="445">
        <f t="shared" si="0"/>
        <v>0</v>
      </c>
      <c r="F10" s="692"/>
      <c r="G10" s="692"/>
      <c r="H10" s="2523"/>
      <c r="I10" s="445">
        <v>0</v>
      </c>
      <c r="J10" s="445">
        <v>3</v>
      </c>
      <c r="K10" s="445">
        <f t="shared" si="2"/>
        <v>5</v>
      </c>
      <c r="L10" s="692">
        <v>5</v>
      </c>
      <c r="M10" s="692">
        <v>0</v>
      </c>
      <c r="N10" s="965">
        <v>1</v>
      </c>
    </row>
    <row r="11" spans="1:14" ht="80.25" customHeight="1" x14ac:dyDescent="0.2">
      <c r="A11" s="544">
        <v>4</v>
      </c>
      <c r="B11" s="778" t="s">
        <v>637</v>
      </c>
      <c r="C11" s="445">
        <v>0</v>
      </c>
      <c r="D11" s="445">
        <v>2</v>
      </c>
      <c r="E11" s="445">
        <f t="shared" si="0"/>
        <v>2</v>
      </c>
      <c r="F11" s="692">
        <v>2</v>
      </c>
      <c r="G11" s="692">
        <v>0</v>
      </c>
      <c r="H11" s="1011">
        <f t="shared" ref="H11:H24" si="3">F11/E11</f>
        <v>1</v>
      </c>
      <c r="I11" s="445">
        <v>0</v>
      </c>
      <c r="J11" s="445">
        <v>0</v>
      </c>
      <c r="K11" s="445">
        <f t="shared" si="2"/>
        <v>0</v>
      </c>
      <c r="L11" s="692"/>
      <c r="M11" s="692"/>
      <c r="N11" s="964"/>
    </row>
    <row r="12" spans="1:14" ht="20.25" x14ac:dyDescent="0.2">
      <c r="A12" s="544">
        <v>5</v>
      </c>
      <c r="B12" s="778" t="s">
        <v>449</v>
      </c>
      <c r="C12" s="445">
        <v>0</v>
      </c>
      <c r="D12" s="445">
        <v>4</v>
      </c>
      <c r="E12" s="445">
        <f t="shared" si="0"/>
        <v>4</v>
      </c>
      <c r="F12" s="692">
        <v>4</v>
      </c>
      <c r="G12" s="692">
        <v>0</v>
      </c>
      <c r="H12" s="1011">
        <f t="shared" si="3"/>
        <v>1</v>
      </c>
      <c r="I12" s="445">
        <v>1</v>
      </c>
      <c r="J12" s="445">
        <v>3</v>
      </c>
      <c r="K12" s="445">
        <f t="shared" si="2"/>
        <v>11</v>
      </c>
      <c r="L12" s="692">
        <v>11</v>
      </c>
      <c r="M12" s="692">
        <v>0</v>
      </c>
      <c r="N12" s="965">
        <v>1</v>
      </c>
    </row>
    <row r="13" spans="1:14" ht="20.25" x14ac:dyDescent="0.2">
      <c r="A13" s="544">
        <v>6</v>
      </c>
      <c r="B13" s="778" t="s">
        <v>450</v>
      </c>
      <c r="C13" s="445">
        <v>1</v>
      </c>
      <c r="D13" s="445">
        <v>1</v>
      </c>
      <c r="E13" s="445">
        <f t="shared" si="0"/>
        <v>2</v>
      </c>
      <c r="F13" s="692">
        <v>0</v>
      </c>
      <c r="G13" s="692">
        <v>2</v>
      </c>
      <c r="H13" s="1011">
        <f t="shared" si="3"/>
        <v>0</v>
      </c>
      <c r="I13" s="445">
        <v>0</v>
      </c>
      <c r="J13" s="445">
        <v>3</v>
      </c>
      <c r="K13" s="445">
        <f t="shared" si="2"/>
        <v>4</v>
      </c>
      <c r="L13" s="692">
        <v>4</v>
      </c>
      <c r="M13" s="692">
        <v>0</v>
      </c>
      <c r="N13" s="965">
        <f>L13/K13</f>
        <v>1</v>
      </c>
    </row>
    <row r="14" spans="1:14" ht="20.25" x14ac:dyDescent="0.2">
      <c r="A14" s="544">
        <v>7</v>
      </c>
      <c r="B14" s="778" t="s">
        <v>109</v>
      </c>
      <c r="C14" s="445">
        <v>0</v>
      </c>
      <c r="D14" s="445">
        <v>0</v>
      </c>
      <c r="E14" s="445">
        <f t="shared" si="0"/>
        <v>0</v>
      </c>
      <c r="F14" s="692"/>
      <c r="G14" s="692"/>
      <c r="H14" s="1011"/>
      <c r="I14" s="445">
        <v>0</v>
      </c>
      <c r="J14" s="445">
        <v>0</v>
      </c>
      <c r="K14" s="445">
        <f t="shared" si="2"/>
        <v>0</v>
      </c>
      <c r="L14" s="692"/>
      <c r="M14" s="692"/>
      <c r="N14" s="964"/>
    </row>
    <row r="15" spans="1:14" ht="20.25" x14ac:dyDescent="0.2">
      <c r="A15" s="544">
        <f t="shared" si="1"/>
        <v>8</v>
      </c>
      <c r="B15" s="778" t="s">
        <v>105</v>
      </c>
      <c r="C15" s="445">
        <v>0</v>
      </c>
      <c r="D15" s="445">
        <v>3</v>
      </c>
      <c r="E15" s="445">
        <f t="shared" si="0"/>
        <v>5</v>
      </c>
      <c r="F15" s="692">
        <v>5</v>
      </c>
      <c r="G15" s="692">
        <v>0</v>
      </c>
      <c r="H15" s="1011">
        <f t="shared" si="3"/>
        <v>1</v>
      </c>
      <c r="I15" s="445">
        <v>0</v>
      </c>
      <c r="J15" s="445">
        <v>0</v>
      </c>
      <c r="K15" s="445">
        <f t="shared" si="2"/>
        <v>0</v>
      </c>
      <c r="L15" s="692"/>
      <c r="M15" s="692"/>
      <c r="N15" s="964"/>
    </row>
    <row r="16" spans="1:14" ht="28.5" customHeight="1" x14ac:dyDescent="0.2">
      <c r="A16" s="2522">
        <f t="shared" si="1"/>
        <v>9</v>
      </c>
      <c r="B16" s="778" t="s">
        <v>693</v>
      </c>
      <c r="C16" s="445">
        <v>0</v>
      </c>
      <c r="D16" s="445">
        <v>1</v>
      </c>
      <c r="E16" s="445">
        <f t="shared" si="0"/>
        <v>1</v>
      </c>
      <c r="F16" s="692">
        <v>1</v>
      </c>
      <c r="G16" s="692">
        <v>0</v>
      </c>
      <c r="H16" s="1011">
        <f t="shared" si="3"/>
        <v>1</v>
      </c>
      <c r="I16" s="445">
        <v>0</v>
      </c>
      <c r="J16" s="445">
        <v>1</v>
      </c>
      <c r="K16" s="445">
        <f t="shared" si="2"/>
        <v>1</v>
      </c>
      <c r="L16" s="692">
        <v>1</v>
      </c>
      <c r="M16" s="692">
        <v>0</v>
      </c>
      <c r="N16" s="965">
        <f>L16/K16</f>
        <v>1</v>
      </c>
    </row>
    <row r="17" spans="1:16" ht="25.5" hidden="1" customHeight="1" x14ac:dyDescent="0.2">
      <c r="A17" s="2522"/>
      <c r="B17" s="176" t="s">
        <v>599</v>
      </c>
      <c r="C17" s="445">
        <v>0</v>
      </c>
      <c r="D17" s="445">
        <v>0</v>
      </c>
      <c r="E17" s="445">
        <f t="shared" si="0"/>
        <v>0</v>
      </c>
      <c r="F17" s="445"/>
      <c r="G17" s="445"/>
      <c r="H17" s="1011" t="e">
        <f t="shared" si="3"/>
        <v>#DIV/0!</v>
      </c>
      <c r="I17" s="445">
        <v>0</v>
      </c>
      <c r="J17" s="445">
        <v>0</v>
      </c>
      <c r="K17" s="445">
        <f t="shared" si="2"/>
        <v>0</v>
      </c>
      <c r="L17" s="445"/>
      <c r="M17" s="445"/>
      <c r="N17" s="964"/>
    </row>
    <row r="18" spans="1:16" ht="25.5" x14ac:dyDescent="0.2">
      <c r="A18" s="544">
        <v>10</v>
      </c>
      <c r="B18" s="778" t="s">
        <v>259</v>
      </c>
      <c r="C18" s="445">
        <v>0</v>
      </c>
      <c r="D18" s="445">
        <v>2</v>
      </c>
      <c r="E18" s="445">
        <f t="shared" si="0"/>
        <v>2</v>
      </c>
      <c r="F18" s="692">
        <v>2</v>
      </c>
      <c r="G18" s="692">
        <v>0</v>
      </c>
      <c r="H18" s="1011">
        <f t="shared" si="3"/>
        <v>1</v>
      </c>
      <c r="I18" s="445">
        <v>0</v>
      </c>
      <c r="J18" s="445">
        <v>1</v>
      </c>
      <c r="K18" s="445">
        <f t="shared" si="2"/>
        <v>1</v>
      </c>
      <c r="L18" s="692">
        <v>1</v>
      </c>
      <c r="M18" s="692">
        <v>0</v>
      </c>
      <c r="N18" s="965">
        <f>L18/K18</f>
        <v>1</v>
      </c>
    </row>
    <row r="19" spans="1:16" ht="20.25" x14ac:dyDescent="0.2">
      <c r="A19" s="544">
        <f t="shared" si="1"/>
        <v>11</v>
      </c>
      <c r="B19" s="778" t="s">
        <v>442</v>
      </c>
      <c r="C19" s="445">
        <v>0</v>
      </c>
      <c r="D19" s="445">
        <v>0</v>
      </c>
      <c r="E19" s="445">
        <f t="shared" si="0"/>
        <v>0</v>
      </c>
      <c r="F19" s="692"/>
      <c r="G19" s="692"/>
      <c r="H19" s="1011"/>
      <c r="I19" s="445">
        <v>0</v>
      </c>
      <c r="J19" s="445">
        <v>0</v>
      </c>
      <c r="K19" s="445">
        <f t="shared" si="2"/>
        <v>0</v>
      </c>
      <c r="L19" s="692"/>
      <c r="M19" s="692"/>
      <c r="N19" s="964"/>
    </row>
    <row r="20" spans="1:16" ht="25.5" x14ac:dyDescent="0.2">
      <c r="A20" s="544">
        <f t="shared" si="1"/>
        <v>12</v>
      </c>
      <c r="B20" s="778" t="s">
        <v>839</v>
      </c>
      <c r="C20" s="445">
        <v>0</v>
      </c>
      <c r="D20" s="445">
        <v>0</v>
      </c>
      <c r="E20" s="445">
        <f t="shared" si="0"/>
        <v>0</v>
      </c>
      <c r="F20" s="692"/>
      <c r="G20" s="692"/>
      <c r="H20" s="1011"/>
      <c r="I20" s="445">
        <v>0</v>
      </c>
      <c r="J20" s="445">
        <v>0</v>
      </c>
      <c r="K20" s="445">
        <f t="shared" si="2"/>
        <v>0</v>
      </c>
      <c r="L20" s="692"/>
      <c r="M20" s="692"/>
      <c r="N20" s="964"/>
      <c r="P20" s="543"/>
    </row>
    <row r="21" spans="1:16" ht="20.25" x14ac:dyDescent="0.2">
      <c r="A21" s="544">
        <f t="shared" si="1"/>
        <v>13</v>
      </c>
      <c r="B21" s="500" t="s">
        <v>261</v>
      </c>
      <c r="C21" s="445">
        <v>0</v>
      </c>
      <c r="D21" s="445">
        <v>1</v>
      </c>
      <c r="E21" s="445">
        <f t="shared" si="0"/>
        <v>1</v>
      </c>
      <c r="F21" s="692">
        <v>1</v>
      </c>
      <c r="G21" s="692">
        <v>0</v>
      </c>
      <c r="H21" s="1011">
        <f t="shared" si="3"/>
        <v>1</v>
      </c>
      <c r="I21" s="445">
        <v>0</v>
      </c>
      <c r="J21" s="445">
        <v>0</v>
      </c>
      <c r="K21" s="445">
        <f t="shared" si="2"/>
        <v>0</v>
      </c>
      <c r="L21" s="692"/>
      <c r="M21" s="692"/>
      <c r="N21" s="964"/>
    </row>
    <row r="22" spans="1:16" s="694" customFormat="1" ht="20.25" x14ac:dyDescent="0.2">
      <c r="A22" s="693">
        <f t="shared" si="1"/>
        <v>14</v>
      </c>
      <c r="B22" s="778" t="s">
        <v>443</v>
      </c>
      <c r="C22" s="445">
        <v>0</v>
      </c>
      <c r="D22" s="445">
        <v>0</v>
      </c>
      <c r="E22" s="445"/>
      <c r="F22" s="692"/>
      <c r="G22" s="692"/>
      <c r="H22" s="1011"/>
      <c r="I22" s="445">
        <v>0</v>
      </c>
      <c r="J22" s="445">
        <v>2</v>
      </c>
      <c r="K22" s="445">
        <f t="shared" si="2"/>
        <v>2</v>
      </c>
      <c r="L22" s="692">
        <v>2</v>
      </c>
      <c r="M22" s="692">
        <v>0</v>
      </c>
      <c r="N22" s="965">
        <f>L22/K22</f>
        <v>1</v>
      </c>
      <c r="O22" s="966"/>
    </row>
    <row r="23" spans="1:16" ht="25.5" x14ac:dyDescent="0.2">
      <c r="A23" s="544">
        <f t="shared" si="1"/>
        <v>15</v>
      </c>
      <c r="B23" s="778" t="s">
        <v>260</v>
      </c>
      <c r="C23" s="445">
        <v>1</v>
      </c>
      <c r="D23" s="445">
        <v>2</v>
      </c>
      <c r="E23" s="445">
        <f t="shared" si="0"/>
        <v>4</v>
      </c>
      <c r="F23" s="692">
        <v>4</v>
      </c>
      <c r="G23" s="692">
        <v>0</v>
      </c>
      <c r="H23" s="1011">
        <f t="shared" si="3"/>
        <v>1</v>
      </c>
      <c r="I23" s="445">
        <v>0</v>
      </c>
      <c r="J23" s="445">
        <v>1</v>
      </c>
      <c r="K23" s="445">
        <f t="shared" si="2"/>
        <v>3</v>
      </c>
      <c r="L23" s="692">
        <v>3</v>
      </c>
      <c r="M23" s="692">
        <v>0</v>
      </c>
      <c r="N23" s="965">
        <v>1</v>
      </c>
      <c r="P23" s="543"/>
    </row>
    <row r="24" spans="1:16" ht="20.25" x14ac:dyDescent="0.2">
      <c r="A24" s="544">
        <f t="shared" si="1"/>
        <v>16</v>
      </c>
      <c r="B24" s="778" t="s">
        <v>412</v>
      </c>
      <c r="C24" s="445">
        <v>2</v>
      </c>
      <c r="D24" s="445">
        <v>7</v>
      </c>
      <c r="E24" s="445">
        <v>10</v>
      </c>
      <c r="F24" s="692">
        <v>10</v>
      </c>
      <c r="G24" s="692">
        <v>0</v>
      </c>
      <c r="H24" s="1011">
        <f t="shared" si="3"/>
        <v>1</v>
      </c>
      <c r="I24" s="445">
        <v>0</v>
      </c>
      <c r="J24" s="445">
        <v>0</v>
      </c>
      <c r="K24" s="445">
        <f t="shared" si="2"/>
        <v>0</v>
      </c>
      <c r="L24" s="692"/>
      <c r="M24" s="692"/>
      <c r="N24" s="965"/>
    </row>
    <row r="25" spans="1:16" ht="21" thickBot="1" x14ac:dyDescent="0.25">
      <c r="B25" s="177" t="s">
        <v>117</v>
      </c>
      <c r="C25" s="967">
        <f>SUM(C5:C24)</f>
        <v>5</v>
      </c>
      <c r="D25" s="967">
        <f>SUM(D5:D24)-D17</f>
        <v>29</v>
      </c>
      <c r="E25" s="967">
        <f>SUM(E5:E24)</f>
        <v>40</v>
      </c>
      <c r="F25" s="967">
        <f>SUM(F5:F24)</f>
        <v>38</v>
      </c>
      <c r="G25" s="967">
        <f>SUM(G5:G24)</f>
        <v>2</v>
      </c>
      <c r="H25" s="968">
        <f>F25/E25</f>
        <v>0.95</v>
      </c>
      <c r="I25" s="967">
        <f>SUM(I5:I24)</f>
        <v>5</v>
      </c>
      <c r="J25" s="967">
        <f>SUM(J5:J24)</f>
        <v>20</v>
      </c>
      <c r="K25" s="967">
        <f>SUM(K5:K24)</f>
        <v>40</v>
      </c>
      <c r="L25" s="967">
        <f>SUM(L5:L24)</f>
        <v>40</v>
      </c>
      <c r="M25" s="967">
        <f>SUM(M5:M24)</f>
        <v>0</v>
      </c>
      <c r="N25" s="969">
        <f>L25/K25</f>
        <v>1</v>
      </c>
    </row>
    <row r="26" spans="1:16" ht="313.5" customHeight="1" x14ac:dyDescent="0.2">
      <c r="B26" s="2524" t="s">
        <v>1232</v>
      </c>
      <c r="C26" s="2525"/>
      <c r="D26" s="2525"/>
      <c r="E26" s="2525"/>
      <c r="F26" s="2525"/>
      <c r="G26" s="2525"/>
      <c r="H26" s="2525"/>
      <c r="I26" s="2525"/>
      <c r="J26" s="2525"/>
      <c r="K26" s="2525"/>
      <c r="L26" s="2525"/>
      <c r="M26" s="2525"/>
      <c r="N26" s="2525"/>
    </row>
  </sheetData>
  <mergeCells count="14">
    <mergeCell ref="A7:A10"/>
    <mergeCell ref="H7:H10"/>
    <mergeCell ref="A16:A17"/>
    <mergeCell ref="B26:N26"/>
    <mergeCell ref="B1:N1"/>
    <mergeCell ref="B2:B4"/>
    <mergeCell ref="C2:H2"/>
    <mergeCell ref="I2:N2"/>
    <mergeCell ref="C3:D3"/>
    <mergeCell ref="E3:G3"/>
    <mergeCell ref="H3:H4"/>
    <mergeCell ref="I3:J3"/>
    <mergeCell ref="K3:M3"/>
    <mergeCell ref="N3:N4"/>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indexed="38"/>
  </sheetPr>
  <dimension ref="B1:AI75"/>
  <sheetViews>
    <sheetView zoomScale="55" zoomScaleNormal="55" workbookViewId="0">
      <pane xSplit="1" ySplit="5" topLeftCell="B6" activePane="bottomRight" state="frozen"/>
      <selection pane="topRight" activeCell="B1" sqref="B1"/>
      <selection pane="bottomLeft" activeCell="A6" sqref="A6"/>
      <selection pane="bottomRight" activeCell="W18" sqref="W18"/>
    </sheetView>
  </sheetViews>
  <sheetFormatPr baseColWidth="10" defaultColWidth="9.140625" defaultRowHeight="12.75" x14ac:dyDescent="0.2"/>
  <cols>
    <col min="1" max="1" width="2.7109375" style="766" customWidth="1"/>
    <col min="2" max="2" width="31.42578125" style="766" customWidth="1"/>
    <col min="3" max="3" width="9.7109375" style="766" customWidth="1"/>
    <col min="4" max="4" width="14.42578125" style="766" customWidth="1"/>
    <col min="5" max="14" width="9.7109375" style="766" customWidth="1"/>
    <col min="15" max="15" width="11" style="222" customWidth="1"/>
    <col min="16" max="16" width="9.7109375" style="766" customWidth="1"/>
    <col min="17" max="17" width="12" style="766" customWidth="1"/>
    <col min="18" max="19" width="9.7109375" style="766" customWidth="1"/>
    <col min="20" max="20" width="9.7109375" style="775" customWidth="1"/>
    <col min="21" max="25" width="9.7109375" style="766" customWidth="1"/>
    <col min="26" max="26" width="10.7109375" style="766" customWidth="1"/>
    <col min="27" max="30" width="11.28515625" style="766" customWidth="1"/>
    <col min="31" max="31" width="13.5703125" style="766" customWidth="1"/>
    <col min="32" max="32" width="12.42578125" style="766" customWidth="1"/>
    <col min="33" max="33" width="30.7109375" style="766" customWidth="1"/>
    <col min="34" max="265" width="9.140625" style="766"/>
    <col min="266" max="266" width="2.7109375" style="766" customWidth="1"/>
    <col min="267" max="267" width="16.7109375" style="766" customWidth="1"/>
    <col min="268" max="273" width="18.85546875" style="766" customWidth="1"/>
    <col min="274" max="274" width="18.5703125" style="766" customWidth="1"/>
    <col min="275" max="275" width="14.28515625" style="766" customWidth="1"/>
    <col min="276" max="276" width="21" style="766" customWidth="1"/>
    <col min="277" max="277" width="14.7109375" style="766" customWidth="1"/>
    <col min="278" max="278" width="15" style="766" customWidth="1"/>
    <col min="279" max="521" width="9.140625" style="766"/>
    <col min="522" max="522" width="2.7109375" style="766" customWidth="1"/>
    <col min="523" max="523" width="16.7109375" style="766" customWidth="1"/>
    <col min="524" max="529" width="18.85546875" style="766" customWidth="1"/>
    <col min="530" max="530" width="18.5703125" style="766" customWidth="1"/>
    <col min="531" max="531" width="14.28515625" style="766" customWidth="1"/>
    <col min="532" max="532" width="21" style="766" customWidth="1"/>
    <col min="533" max="533" width="14.7109375" style="766" customWidth="1"/>
    <col min="534" max="534" width="15" style="766" customWidth="1"/>
    <col min="535" max="777" width="9.140625" style="766"/>
    <col min="778" max="778" width="2.7109375" style="766" customWidth="1"/>
    <col min="779" max="779" width="16.7109375" style="766" customWidth="1"/>
    <col min="780" max="785" width="18.85546875" style="766" customWidth="1"/>
    <col min="786" max="786" width="18.5703125" style="766" customWidth="1"/>
    <col min="787" max="787" width="14.28515625" style="766" customWidth="1"/>
    <col min="788" max="788" width="21" style="766" customWidth="1"/>
    <col min="789" max="789" width="14.7109375" style="766" customWidth="1"/>
    <col min="790" max="790" width="15" style="766" customWidth="1"/>
    <col min="791" max="1033" width="9.140625" style="766"/>
    <col min="1034" max="1034" width="2.7109375" style="766" customWidth="1"/>
    <col min="1035" max="1035" width="16.7109375" style="766" customWidth="1"/>
    <col min="1036" max="1041" width="18.85546875" style="766" customWidth="1"/>
    <col min="1042" max="1042" width="18.5703125" style="766" customWidth="1"/>
    <col min="1043" max="1043" width="14.28515625" style="766" customWidth="1"/>
    <col min="1044" max="1044" width="21" style="766" customWidth="1"/>
    <col min="1045" max="1045" width="14.7109375" style="766" customWidth="1"/>
    <col min="1046" max="1046" width="15" style="766" customWidth="1"/>
    <col min="1047" max="1289" width="9.140625" style="766"/>
    <col min="1290" max="1290" width="2.7109375" style="766" customWidth="1"/>
    <col min="1291" max="1291" width="16.7109375" style="766" customWidth="1"/>
    <col min="1292" max="1297" width="18.85546875" style="766" customWidth="1"/>
    <col min="1298" max="1298" width="18.5703125" style="766" customWidth="1"/>
    <col min="1299" max="1299" width="14.28515625" style="766" customWidth="1"/>
    <col min="1300" max="1300" width="21" style="766" customWidth="1"/>
    <col min="1301" max="1301" width="14.7109375" style="766" customWidth="1"/>
    <col min="1302" max="1302" width="15" style="766" customWidth="1"/>
    <col min="1303" max="1545" width="9.140625" style="766"/>
    <col min="1546" max="1546" width="2.7109375" style="766" customWidth="1"/>
    <col min="1547" max="1547" width="16.7109375" style="766" customWidth="1"/>
    <col min="1548" max="1553" width="18.85546875" style="766" customWidth="1"/>
    <col min="1554" max="1554" width="18.5703125" style="766" customWidth="1"/>
    <col min="1555" max="1555" width="14.28515625" style="766" customWidth="1"/>
    <col min="1556" max="1556" width="21" style="766" customWidth="1"/>
    <col min="1557" max="1557" width="14.7109375" style="766" customWidth="1"/>
    <col min="1558" max="1558" width="15" style="766" customWidth="1"/>
    <col min="1559" max="1801" width="9.140625" style="766"/>
    <col min="1802" max="1802" width="2.7109375" style="766" customWidth="1"/>
    <col min="1803" max="1803" width="16.7109375" style="766" customWidth="1"/>
    <col min="1804" max="1809" width="18.85546875" style="766" customWidth="1"/>
    <col min="1810" max="1810" width="18.5703125" style="766" customWidth="1"/>
    <col min="1811" max="1811" width="14.28515625" style="766" customWidth="1"/>
    <col min="1812" max="1812" width="21" style="766" customWidth="1"/>
    <col min="1813" max="1813" width="14.7109375" style="766" customWidth="1"/>
    <col min="1814" max="1814" width="15" style="766" customWidth="1"/>
    <col min="1815" max="2057" width="9.140625" style="766"/>
    <col min="2058" max="2058" width="2.7109375" style="766" customWidth="1"/>
    <col min="2059" max="2059" width="16.7109375" style="766" customWidth="1"/>
    <col min="2060" max="2065" width="18.85546875" style="766" customWidth="1"/>
    <col min="2066" max="2066" width="18.5703125" style="766" customWidth="1"/>
    <col min="2067" max="2067" width="14.28515625" style="766" customWidth="1"/>
    <col min="2068" max="2068" width="21" style="766" customWidth="1"/>
    <col min="2069" max="2069" width="14.7109375" style="766" customWidth="1"/>
    <col min="2070" max="2070" width="15" style="766" customWidth="1"/>
    <col min="2071" max="2313" width="9.140625" style="766"/>
    <col min="2314" max="2314" width="2.7109375" style="766" customWidth="1"/>
    <col min="2315" max="2315" width="16.7109375" style="766" customWidth="1"/>
    <col min="2316" max="2321" width="18.85546875" style="766" customWidth="1"/>
    <col min="2322" max="2322" width="18.5703125" style="766" customWidth="1"/>
    <col min="2323" max="2323" width="14.28515625" style="766" customWidth="1"/>
    <col min="2324" max="2324" width="21" style="766" customWidth="1"/>
    <col min="2325" max="2325" width="14.7109375" style="766" customWidth="1"/>
    <col min="2326" max="2326" width="15" style="766" customWidth="1"/>
    <col min="2327" max="2569" width="9.140625" style="766"/>
    <col min="2570" max="2570" width="2.7109375" style="766" customWidth="1"/>
    <col min="2571" max="2571" width="16.7109375" style="766" customWidth="1"/>
    <col min="2572" max="2577" width="18.85546875" style="766" customWidth="1"/>
    <col min="2578" max="2578" width="18.5703125" style="766" customWidth="1"/>
    <col min="2579" max="2579" width="14.28515625" style="766" customWidth="1"/>
    <col min="2580" max="2580" width="21" style="766" customWidth="1"/>
    <col min="2581" max="2581" width="14.7109375" style="766" customWidth="1"/>
    <col min="2582" max="2582" width="15" style="766" customWidth="1"/>
    <col min="2583" max="2825" width="9.140625" style="766"/>
    <col min="2826" max="2826" width="2.7109375" style="766" customWidth="1"/>
    <col min="2827" max="2827" width="16.7109375" style="766" customWidth="1"/>
    <col min="2828" max="2833" width="18.85546875" style="766" customWidth="1"/>
    <col min="2834" max="2834" width="18.5703125" style="766" customWidth="1"/>
    <col min="2835" max="2835" width="14.28515625" style="766" customWidth="1"/>
    <col min="2836" max="2836" width="21" style="766" customWidth="1"/>
    <col min="2837" max="2837" width="14.7109375" style="766" customWidth="1"/>
    <col min="2838" max="2838" width="15" style="766" customWidth="1"/>
    <col min="2839" max="3081" width="9.140625" style="766"/>
    <col min="3082" max="3082" width="2.7109375" style="766" customWidth="1"/>
    <col min="3083" max="3083" width="16.7109375" style="766" customWidth="1"/>
    <col min="3084" max="3089" width="18.85546875" style="766" customWidth="1"/>
    <col min="3090" max="3090" width="18.5703125" style="766" customWidth="1"/>
    <col min="3091" max="3091" width="14.28515625" style="766" customWidth="1"/>
    <col min="3092" max="3092" width="21" style="766" customWidth="1"/>
    <col min="3093" max="3093" width="14.7109375" style="766" customWidth="1"/>
    <col min="3094" max="3094" width="15" style="766" customWidth="1"/>
    <col min="3095" max="3337" width="9.140625" style="766"/>
    <col min="3338" max="3338" width="2.7109375" style="766" customWidth="1"/>
    <col min="3339" max="3339" width="16.7109375" style="766" customWidth="1"/>
    <col min="3340" max="3345" width="18.85546875" style="766" customWidth="1"/>
    <col min="3346" max="3346" width="18.5703125" style="766" customWidth="1"/>
    <col min="3347" max="3347" width="14.28515625" style="766" customWidth="1"/>
    <col min="3348" max="3348" width="21" style="766" customWidth="1"/>
    <col min="3349" max="3349" width="14.7109375" style="766" customWidth="1"/>
    <col min="3350" max="3350" width="15" style="766" customWidth="1"/>
    <col min="3351" max="3593" width="9.140625" style="766"/>
    <col min="3594" max="3594" width="2.7109375" style="766" customWidth="1"/>
    <col min="3595" max="3595" width="16.7109375" style="766" customWidth="1"/>
    <col min="3596" max="3601" width="18.85546875" style="766" customWidth="1"/>
    <col min="3602" max="3602" width="18.5703125" style="766" customWidth="1"/>
    <col min="3603" max="3603" width="14.28515625" style="766" customWidth="1"/>
    <col min="3604" max="3604" width="21" style="766" customWidth="1"/>
    <col min="3605" max="3605" width="14.7109375" style="766" customWidth="1"/>
    <col min="3606" max="3606" width="15" style="766" customWidth="1"/>
    <col min="3607" max="3849" width="9.140625" style="766"/>
    <col min="3850" max="3850" width="2.7109375" style="766" customWidth="1"/>
    <col min="3851" max="3851" width="16.7109375" style="766" customWidth="1"/>
    <col min="3852" max="3857" width="18.85546875" style="766" customWidth="1"/>
    <col min="3858" max="3858" width="18.5703125" style="766" customWidth="1"/>
    <col min="3859" max="3859" width="14.28515625" style="766" customWidth="1"/>
    <col min="3860" max="3860" width="21" style="766" customWidth="1"/>
    <col min="3861" max="3861" width="14.7109375" style="766" customWidth="1"/>
    <col min="3862" max="3862" width="15" style="766" customWidth="1"/>
    <col min="3863" max="4105" width="9.140625" style="766"/>
    <col min="4106" max="4106" width="2.7109375" style="766" customWidth="1"/>
    <col min="4107" max="4107" width="16.7109375" style="766" customWidth="1"/>
    <col min="4108" max="4113" width="18.85546875" style="766" customWidth="1"/>
    <col min="4114" max="4114" width="18.5703125" style="766" customWidth="1"/>
    <col min="4115" max="4115" width="14.28515625" style="766" customWidth="1"/>
    <col min="4116" max="4116" width="21" style="766" customWidth="1"/>
    <col min="4117" max="4117" width="14.7109375" style="766" customWidth="1"/>
    <col min="4118" max="4118" width="15" style="766" customWidth="1"/>
    <col min="4119" max="4361" width="9.140625" style="766"/>
    <col min="4362" max="4362" width="2.7109375" style="766" customWidth="1"/>
    <col min="4363" max="4363" width="16.7109375" style="766" customWidth="1"/>
    <col min="4364" max="4369" width="18.85546875" style="766" customWidth="1"/>
    <col min="4370" max="4370" width="18.5703125" style="766" customWidth="1"/>
    <col min="4371" max="4371" width="14.28515625" style="766" customWidth="1"/>
    <col min="4372" max="4372" width="21" style="766" customWidth="1"/>
    <col min="4373" max="4373" width="14.7109375" style="766" customWidth="1"/>
    <col min="4374" max="4374" width="15" style="766" customWidth="1"/>
    <col min="4375" max="4617" width="9.140625" style="766"/>
    <col min="4618" max="4618" width="2.7109375" style="766" customWidth="1"/>
    <col min="4619" max="4619" width="16.7109375" style="766" customWidth="1"/>
    <col min="4620" max="4625" width="18.85546875" style="766" customWidth="1"/>
    <col min="4626" max="4626" width="18.5703125" style="766" customWidth="1"/>
    <col min="4627" max="4627" width="14.28515625" style="766" customWidth="1"/>
    <col min="4628" max="4628" width="21" style="766" customWidth="1"/>
    <col min="4629" max="4629" width="14.7109375" style="766" customWidth="1"/>
    <col min="4630" max="4630" width="15" style="766" customWidth="1"/>
    <col min="4631" max="4873" width="9.140625" style="766"/>
    <col min="4874" max="4874" width="2.7109375" style="766" customWidth="1"/>
    <col min="4875" max="4875" width="16.7109375" style="766" customWidth="1"/>
    <col min="4876" max="4881" width="18.85546875" style="766" customWidth="1"/>
    <col min="4882" max="4882" width="18.5703125" style="766" customWidth="1"/>
    <col min="4883" max="4883" width="14.28515625" style="766" customWidth="1"/>
    <col min="4884" max="4884" width="21" style="766" customWidth="1"/>
    <col min="4885" max="4885" width="14.7109375" style="766" customWidth="1"/>
    <col min="4886" max="4886" width="15" style="766" customWidth="1"/>
    <col min="4887" max="5129" width="9.140625" style="766"/>
    <col min="5130" max="5130" width="2.7109375" style="766" customWidth="1"/>
    <col min="5131" max="5131" width="16.7109375" style="766" customWidth="1"/>
    <col min="5132" max="5137" width="18.85546875" style="766" customWidth="1"/>
    <col min="5138" max="5138" width="18.5703125" style="766" customWidth="1"/>
    <col min="5139" max="5139" width="14.28515625" style="766" customWidth="1"/>
    <col min="5140" max="5140" width="21" style="766" customWidth="1"/>
    <col min="5141" max="5141" width="14.7109375" style="766" customWidth="1"/>
    <col min="5142" max="5142" width="15" style="766" customWidth="1"/>
    <col min="5143" max="5385" width="9.140625" style="766"/>
    <col min="5386" max="5386" width="2.7109375" style="766" customWidth="1"/>
    <col min="5387" max="5387" width="16.7109375" style="766" customWidth="1"/>
    <col min="5388" max="5393" width="18.85546875" style="766" customWidth="1"/>
    <col min="5394" max="5394" width="18.5703125" style="766" customWidth="1"/>
    <col min="5395" max="5395" width="14.28515625" style="766" customWidth="1"/>
    <col min="5396" max="5396" width="21" style="766" customWidth="1"/>
    <col min="5397" max="5397" width="14.7109375" style="766" customWidth="1"/>
    <col min="5398" max="5398" width="15" style="766" customWidth="1"/>
    <col min="5399" max="5641" width="9.140625" style="766"/>
    <col min="5642" max="5642" width="2.7109375" style="766" customWidth="1"/>
    <col min="5643" max="5643" width="16.7109375" style="766" customWidth="1"/>
    <col min="5644" max="5649" width="18.85546875" style="766" customWidth="1"/>
    <col min="5650" max="5650" width="18.5703125" style="766" customWidth="1"/>
    <col min="5651" max="5651" width="14.28515625" style="766" customWidth="1"/>
    <col min="5652" max="5652" width="21" style="766" customWidth="1"/>
    <col min="5653" max="5653" width="14.7109375" style="766" customWidth="1"/>
    <col min="5654" max="5654" width="15" style="766" customWidth="1"/>
    <col min="5655" max="5897" width="9.140625" style="766"/>
    <col min="5898" max="5898" width="2.7109375" style="766" customWidth="1"/>
    <col min="5899" max="5899" width="16.7109375" style="766" customWidth="1"/>
    <col min="5900" max="5905" width="18.85546875" style="766" customWidth="1"/>
    <col min="5906" max="5906" width="18.5703125" style="766" customWidth="1"/>
    <col min="5907" max="5907" width="14.28515625" style="766" customWidth="1"/>
    <col min="5908" max="5908" width="21" style="766" customWidth="1"/>
    <col min="5909" max="5909" width="14.7109375" style="766" customWidth="1"/>
    <col min="5910" max="5910" width="15" style="766" customWidth="1"/>
    <col min="5911" max="6153" width="9.140625" style="766"/>
    <col min="6154" max="6154" width="2.7109375" style="766" customWidth="1"/>
    <col min="6155" max="6155" width="16.7109375" style="766" customWidth="1"/>
    <col min="6156" max="6161" width="18.85546875" style="766" customWidth="1"/>
    <col min="6162" max="6162" width="18.5703125" style="766" customWidth="1"/>
    <col min="6163" max="6163" width="14.28515625" style="766" customWidth="1"/>
    <col min="6164" max="6164" width="21" style="766" customWidth="1"/>
    <col min="6165" max="6165" width="14.7109375" style="766" customWidth="1"/>
    <col min="6166" max="6166" width="15" style="766" customWidth="1"/>
    <col min="6167" max="6409" width="9.140625" style="766"/>
    <col min="6410" max="6410" width="2.7109375" style="766" customWidth="1"/>
    <col min="6411" max="6411" width="16.7109375" style="766" customWidth="1"/>
    <col min="6412" max="6417" width="18.85546875" style="766" customWidth="1"/>
    <col min="6418" max="6418" width="18.5703125" style="766" customWidth="1"/>
    <col min="6419" max="6419" width="14.28515625" style="766" customWidth="1"/>
    <col min="6420" max="6420" width="21" style="766" customWidth="1"/>
    <col min="6421" max="6421" width="14.7109375" style="766" customWidth="1"/>
    <col min="6422" max="6422" width="15" style="766" customWidth="1"/>
    <col min="6423" max="6665" width="9.140625" style="766"/>
    <col min="6666" max="6666" width="2.7109375" style="766" customWidth="1"/>
    <col min="6667" max="6667" width="16.7109375" style="766" customWidth="1"/>
    <col min="6668" max="6673" width="18.85546875" style="766" customWidth="1"/>
    <col min="6674" max="6674" width="18.5703125" style="766" customWidth="1"/>
    <col min="6675" max="6675" width="14.28515625" style="766" customWidth="1"/>
    <col min="6676" max="6676" width="21" style="766" customWidth="1"/>
    <col min="6677" max="6677" width="14.7109375" style="766" customWidth="1"/>
    <col min="6678" max="6678" width="15" style="766" customWidth="1"/>
    <col min="6679" max="6921" width="9.140625" style="766"/>
    <col min="6922" max="6922" width="2.7109375" style="766" customWidth="1"/>
    <col min="6923" max="6923" width="16.7109375" style="766" customWidth="1"/>
    <col min="6924" max="6929" width="18.85546875" style="766" customWidth="1"/>
    <col min="6930" max="6930" width="18.5703125" style="766" customWidth="1"/>
    <col min="6931" max="6931" width="14.28515625" style="766" customWidth="1"/>
    <col min="6932" max="6932" width="21" style="766" customWidth="1"/>
    <col min="6933" max="6933" width="14.7109375" style="766" customWidth="1"/>
    <col min="6934" max="6934" width="15" style="766" customWidth="1"/>
    <col min="6935" max="7177" width="9.140625" style="766"/>
    <col min="7178" max="7178" width="2.7109375" style="766" customWidth="1"/>
    <col min="7179" max="7179" width="16.7109375" style="766" customWidth="1"/>
    <col min="7180" max="7185" width="18.85546875" style="766" customWidth="1"/>
    <col min="7186" max="7186" width="18.5703125" style="766" customWidth="1"/>
    <col min="7187" max="7187" width="14.28515625" style="766" customWidth="1"/>
    <col min="7188" max="7188" width="21" style="766" customWidth="1"/>
    <col min="7189" max="7189" width="14.7109375" style="766" customWidth="1"/>
    <col min="7190" max="7190" width="15" style="766" customWidth="1"/>
    <col min="7191" max="7433" width="9.140625" style="766"/>
    <col min="7434" max="7434" width="2.7109375" style="766" customWidth="1"/>
    <col min="7435" max="7435" width="16.7109375" style="766" customWidth="1"/>
    <col min="7436" max="7441" width="18.85546875" style="766" customWidth="1"/>
    <col min="7442" max="7442" width="18.5703125" style="766" customWidth="1"/>
    <col min="7443" max="7443" width="14.28515625" style="766" customWidth="1"/>
    <col min="7444" max="7444" width="21" style="766" customWidth="1"/>
    <col min="7445" max="7445" width="14.7109375" style="766" customWidth="1"/>
    <col min="7446" max="7446" width="15" style="766" customWidth="1"/>
    <col min="7447" max="7689" width="9.140625" style="766"/>
    <col min="7690" max="7690" width="2.7109375" style="766" customWidth="1"/>
    <col min="7691" max="7691" width="16.7109375" style="766" customWidth="1"/>
    <col min="7692" max="7697" width="18.85546875" style="766" customWidth="1"/>
    <col min="7698" max="7698" width="18.5703125" style="766" customWidth="1"/>
    <col min="7699" max="7699" width="14.28515625" style="766" customWidth="1"/>
    <col min="7700" max="7700" width="21" style="766" customWidth="1"/>
    <col min="7701" max="7701" width="14.7109375" style="766" customWidth="1"/>
    <col min="7702" max="7702" width="15" style="766" customWidth="1"/>
    <col min="7703" max="7945" width="9.140625" style="766"/>
    <col min="7946" max="7946" width="2.7109375" style="766" customWidth="1"/>
    <col min="7947" max="7947" width="16.7109375" style="766" customWidth="1"/>
    <col min="7948" max="7953" width="18.85546875" style="766" customWidth="1"/>
    <col min="7954" max="7954" width="18.5703125" style="766" customWidth="1"/>
    <col min="7955" max="7955" width="14.28515625" style="766" customWidth="1"/>
    <col min="7956" max="7956" width="21" style="766" customWidth="1"/>
    <col min="7957" max="7957" width="14.7109375" style="766" customWidth="1"/>
    <col min="7958" max="7958" width="15" style="766" customWidth="1"/>
    <col min="7959" max="8201" width="9.140625" style="766"/>
    <col min="8202" max="8202" width="2.7109375" style="766" customWidth="1"/>
    <col min="8203" max="8203" width="16.7109375" style="766" customWidth="1"/>
    <col min="8204" max="8209" width="18.85546875" style="766" customWidth="1"/>
    <col min="8210" max="8210" width="18.5703125" style="766" customWidth="1"/>
    <col min="8211" max="8211" width="14.28515625" style="766" customWidth="1"/>
    <col min="8212" max="8212" width="21" style="766" customWidth="1"/>
    <col min="8213" max="8213" width="14.7109375" style="766" customWidth="1"/>
    <col min="8214" max="8214" width="15" style="766" customWidth="1"/>
    <col min="8215" max="8457" width="9.140625" style="766"/>
    <col min="8458" max="8458" width="2.7109375" style="766" customWidth="1"/>
    <col min="8459" max="8459" width="16.7109375" style="766" customWidth="1"/>
    <col min="8460" max="8465" width="18.85546875" style="766" customWidth="1"/>
    <col min="8466" max="8466" width="18.5703125" style="766" customWidth="1"/>
    <col min="8467" max="8467" width="14.28515625" style="766" customWidth="1"/>
    <col min="8468" max="8468" width="21" style="766" customWidth="1"/>
    <col min="8469" max="8469" width="14.7109375" style="766" customWidth="1"/>
    <col min="8470" max="8470" width="15" style="766" customWidth="1"/>
    <col min="8471" max="8713" width="9.140625" style="766"/>
    <col min="8714" max="8714" width="2.7109375" style="766" customWidth="1"/>
    <col min="8715" max="8715" width="16.7109375" style="766" customWidth="1"/>
    <col min="8716" max="8721" width="18.85546875" style="766" customWidth="1"/>
    <col min="8722" max="8722" width="18.5703125" style="766" customWidth="1"/>
    <col min="8723" max="8723" width="14.28515625" style="766" customWidth="1"/>
    <col min="8724" max="8724" width="21" style="766" customWidth="1"/>
    <col min="8725" max="8725" width="14.7109375" style="766" customWidth="1"/>
    <col min="8726" max="8726" width="15" style="766" customWidth="1"/>
    <col min="8727" max="8969" width="9.140625" style="766"/>
    <col min="8970" max="8970" width="2.7109375" style="766" customWidth="1"/>
    <col min="8971" max="8971" width="16.7109375" style="766" customWidth="1"/>
    <col min="8972" max="8977" width="18.85546875" style="766" customWidth="1"/>
    <col min="8978" max="8978" width="18.5703125" style="766" customWidth="1"/>
    <col min="8979" max="8979" width="14.28515625" style="766" customWidth="1"/>
    <col min="8980" max="8980" width="21" style="766" customWidth="1"/>
    <col min="8981" max="8981" width="14.7109375" style="766" customWidth="1"/>
    <col min="8982" max="8982" width="15" style="766" customWidth="1"/>
    <col min="8983" max="9225" width="9.140625" style="766"/>
    <col min="9226" max="9226" width="2.7109375" style="766" customWidth="1"/>
    <col min="9227" max="9227" width="16.7109375" style="766" customWidth="1"/>
    <col min="9228" max="9233" width="18.85546875" style="766" customWidth="1"/>
    <col min="9234" max="9234" width="18.5703125" style="766" customWidth="1"/>
    <col min="9235" max="9235" width="14.28515625" style="766" customWidth="1"/>
    <col min="9236" max="9236" width="21" style="766" customWidth="1"/>
    <col min="9237" max="9237" width="14.7109375" style="766" customWidth="1"/>
    <col min="9238" max="9238" width="15" style="766" customWidth="1"/>
    <col min="9239" max="9481" width="9.140625" style="766"/>
    <col min="9482" max="9482" width="2.7109375" style="766" customWidth="1"/>
    <col min="9483" max="9483" width="16.7109375" style="766" customWidth="1"/>
    <col min="9484" max="9489" width="18.85546875" style="766" customWidth="1"/>
    <col min="9490" max="9490" width="18.5703125" style="766" customWidth="1"/>
    <col min="9491" max="9491" width="14.28515625" style="766" customWidth="1"/>
    <col min="9492" max="9492" width="21" style="766" customWidth="1"/>
    <col min="9493" max="9493" width="14.7109375" style="766" customWidth="1"/>
    <col min="9494" max="9494" width="15" style="766" customWidth="1"/>
    <col min="9495" max="9737" width="9.140625" style="766"/>
    <col min="9738" max="9738" width="2.7109375" style="766" customWidth="1"/>
    <col min="9739" max="9739" width="16.7109375" style="766" customWidth="1"/>
    <col min="9740" max="9745" width="18.85546875" style="766" customWidth="1"/>
    <col min="9746" max="9746" width="18.5703125" style="766" customWidth="1"/>
    <col min="9747" max="9747" width="14.28515625" style="766" customWidth="1"/>
    <col min="9748" max="9748" width="21" style="766" customWidth="1"/>
    <col min="9749" max="9749" width="14.7109375" style="766" customWidth="1"/>
    <col min="9750" max="9750" width="15" style="766" customWidth="1"/>
    <col min="9751" max="9993" width="9.140625" style="766"/>
    <col min="9994" max="9994" width="2.7109375" style="766" customWidth="1"/>
    <col min="9995" max="9995" width="16.7109375" style="766" customWidth="1"/>
    <col min="9996" max="10001" width="18.85546875" style="766" customWidth="1"/>
    <col min="10002" max="10002" width="18.5703125" style="766" customWidth="1"/>
    <col min="10003" max="10003" width="14.28515625" style="766" customWidth="1"/>
    <col min="10004" max="10004" width="21" style="766" customWidth="1"/>
    <col min="10005" max="10005" width="14.7109375" style="766" customWidth="1"/>
    <col min="10006" max="10006" width="15" style="766" customWidth="1"/>
    <col min="10007" max="10249" width="9.140625" style="766"/>
    <col min="10250" max="10250" width="2.7109375" style="766" customWidth="1"/>
    <col min="10251" max="10251" width="16.7109375" style="766" customWidth="1"/>
    <col min="10252" max="10257" width="18.85546875" style="766" customWidth="1"/>
    <col min="10258" max="10258" width="18.5703125" style="766" customWidth="1"/>
    <col min="10259" max="10259" width="14.28515625" style="766" customWidth="1"/>
    <col min="10260" max="10260" width="21" style="766" customWidth="1"/>
    <col min="10261" max="10261" width="14.7109375" style="766" customWidth="1"/>
    <col min="10262" max="10262" width="15" style="766" customWidth="1"/>
    <col min="10263" max="10505" width="9.140625" style="766"/>
    <col min="10506" max="10506" width="2.7109375" style="766" customWidth="1"/>
    <col min="10507" max="10507" width="16.7109375" style="766" customWidth="1"/>
    <col min="10508" max="10513" width="18.85546875" style="766" customWidth="1"/>
    <col min="10514" max="10514" width="18.5703125" style="766" customWidth="1"/>
    <col min="10515" max="10515" width="14.28515625" style="766" customWidth="1"/>
    <col min="10516" max="10516" width="21" style="766" customWidth="1"/>
    <col min="10517" max="10517" width="14.7109375" style="766" customWidth="1"/>
    <col min="10518" max="10518" width="15" style="766" customWidth="1"/>
    <col min="10519" max="10761" width="9.140625" style="766"/>
    <col min="10762" max="10762" width="2.7109375" style="766" customWidth="1"/>
    <col min="10763" max="10763" width="16.7109375" style="766" customWidth="1"/>
    <col min="10764" max="10769" width="18.85546875" style="766" customWidth="1"/>
    <col min="10770" max="10770" width="18.5703125" style="766" customWidth="1"/>
    <col min="10771" max="10771" width="14.28515625" style="766" customWidth="1"/>
    <col min="10772" max="10772" width="21" style="766" customWidth="1"/>
    <col min="10773" max="10773" width="14.7109375" style="766" customWidth="1"/>
    <col min="10774" max="10774" width="15" style="766" customWidth="1"/>
    <col min="10775" max="11017" width="9.140625" style="766"/>
    <col min="11018" max="11018" width="2.7109375" style="766" customWidth="1"/>
    <col min="11019" max="11019" width="16.7109375" style="766" customWidth="1"/>
    <col min="11020" max="11025" width="18.85546875" style="766" customWidth="1"/>
    <col min="11026" max="11026" width="18.5703125" style="766" customWidth="1"/>
    <col min="11027" max="11027" width="14.28515625" style="766" customWidth="1"/>
    <col min="11028" max="11028" width="21" style="766" customWidth="1"/>
    <col min="11029" max="11029" width="14.7109375" style="766" customWidth="1"/>
    <col min="11030" max="11030" width="15" style="766" customWidth="1"/>
    <col min="11031" max="11273" width="9.140625" style="766"/>
    <col min="11274" max="11274" width="2.7109375" style="766" customWidth="1"/>
    <col min="11275" max="11275" width="16.7109375" style="766" customWidth="1"/>
    <col min="11276" max="11281" width="18.85546875" style="766" customWidth="1"/>
    <col min="11282" max="11282" width="18.5703125" style="766" customWidth="1"/>
    <col min="11283" max="11283" width="14.28515625" style="766" customWidth="1"/>
    <col min="11284" max="11284" width="21" style="766" customWidth="1"/>
    <col min="11285" max="11285" width="14.7109375" style="766" customWidth="1"/>
    <col min="11286" max="11286" width="15" style="766" customWidth="1"/>
    <col min="11287" max="11529" width="9.140625" style="766"/>
    <col min="11530" max="11530" width="2.7109375" style="766" customWidth="1"/>
    <col min="11531" max="11531" width="16.7109375" style="766" customWidth="1"/>
    <col min="11532" max="11537" width="18.85546875" style="766" customWidth="1"/>
    <col min="11538" max="11538" width="18.5703125" style="766" customWidth="1"/>
    <col min="11539" max="11539" width="14.28515625" style="766" customWidth="1"/>
    <col min="11540" max="11540" width="21" style="766" customWidth="1"/>
    <col min="11541" max="11541" width="14.7109375" style="766" customWidth="1"/>
    <col min="11542" max="11542" width="15" style="766" customWidth="1"/>
    <col min="11543" max="11785" width="9.140625" style="766"/>
    <col min="11786" max="11786" width="2.7109375" style="766" customWidth="1"/>
    <col min="11787" max="11787" width="16.7109375" style="766" customWidth="1"/>
    <col min="11788" max="11793" width="18.85546875" style="766" customWidth="1"/>
    <col min="11794" max="11794" width="18.5703125" style="766" customWidth="1"/>
    <col min="11795" max="11795" width="14.28515625" style="766" customWidth="1"/>
    <col min="11796" max="11796" width="21" style="766" customWidth="1"/>
    <col min="11797" max="11797" width="14.7109375" style="766" customWidth="1"/>
    <col min="11798" max="11798" width="15" style="766" customWidth="1"/>
    <col min="11799" max="12041" width="9.140625" style="766"/>
    <col min="12042" max="12042" width="2.7109375" style="766" customWidth="1"/>
    <col min="12043" max="12043" width="16.7109375" style="766" customWidth="1"/>
    <col min="12044" max="12049" width="18.85546875" style="766" customWidth="1"/>
    <col min="12050" max="12050" width="18.5703125" style="766" customWidth="1"/>
    <col min="12051" max="12051" width="14.28515625" style="766" customWidth="1"/>
    <col min="12052" max="12052" width="21" style="766" customWidth="1"/>
    <col min="12053" max="12053" width="14.7109375" style="766" customWidth="1"/>
    <col min="12054" max="12054" width="15" style="766" customWidth="1"/>
    <col min="12055" max="12297" width="9.140625" style="766"/>
    <col min="12298" max="12298" width="2.7109375" style="766" customWidth="1"/>
    <col min="12299" max="12299" width="16.7109375" style="766" customWidth="1"/>
    <col min="12300" max="12305" width="18.85546875" style="766" customWidth="1"/>
    <col min="12306" max="12306" width="18.5703125" style="766" customWidth="1"/>
    <col min="12307" max="12307" width="14.28515625" style="766" customWidth="1"/>
    <col min="12308" max="12308" width="21" style="766" customWidth="1"/>
    <col min="12309" max="12309" width="14.7109375" style="766" customWidth="1"/>
    <col min="12310" max="12310" width="15" style="766" customWidth="1"/>
    <col min="12311" max="12553" width="9.140625" style="766"/>
    <col min="12554" max="12554" width="2.7109375" style="766" customWidth="1"/>
    <col min="12555" max="12555" width="16.7109375" style="766" customWidth="1"/>
    <col min="12556" max="12561" width="18.85546875" style="766" customWidth="1"/>
    <col min="12562" max="12562" width="18.5703125" style="766" customWidth="1"/>
    <col min="12563" max="12563" width="14.28515625" style="766" customWidth="1"/>
    <col min="12564" max="12564" width="21" style="766" customWidth="1"/>
    <col min="12565" max="12565" width="14.7109375" style="766" customWidth="1"/>
    <col min="12566" max="12566" width="15" style="766" customWidth="1"/>
    <col min="12567" max="12809" width="9.140625" style="766"/>
    <col min="12810" max="12810" width="2.7109375" style="766" customWidth="1"/>
    <col min="12811" max="12811" width="16.7109375" style="766" customWidth="1"/>
    <col min="12812" max="12817" width="18.85546875" style="766" customWidth="1"/>
    <col min="12818" max="12818" width="18.5703125" style="766" customWidth="1"/>
    <col min="12819" max="12819" width="14.28515625" style="766" customWidth="1"/>
    <col min="12820" max="12820" width="21" style="766" customWidth="1"/>
    <col min="12821" max="12821" width="14.7109375" style="766" customWidth="1"/>
    <col min="12822" max="12822" width="15" style="766" customWidth="1"/>
    <col min="12823" max="13065" width="9.140625" style="766"/>
    <col min="13066" max="13066" width="2.7109375" style="766" customWidth="1"/>
    <col min="13067" max="13067" width="16.7109375" style="766" customWidth="1"/>
    <col min="13068" max="13073" width="18.85546875" style="766" customWidth="1"/>
    <col min="13074" max="13074" width="18.5703125" style="766" customWidth="1"/>
    <col min="13075" max="13075" width="14.28515625" style="766" customWidth="1"/>
    <col min="13076" max="13076" width="21" style="766" customWidth="1"/>
    <col min="13077" max="13077" width="14.7109375" style="766" customWidth="1"/>
    <col min="13078" max="13078" width="15" style="766" customWidth="1"/>
    <col min="13079" max="13321" width="9.140625" style="766"/>
    <col min="13322" max="13322" width="2.7109375" style="766" customWidth="1"/>
    <col min="13323" max="13323" width="16.7109375" style="766" customWidth="1"/>
    <col min="13324" max="13329" width="18.85546875" style="766" customWidth="1"/>
    <col min="13330" max="13330" width="18.5703125" style="766" customWidth="1"/>
    <col min="13331" max="13331" width="14.28515625" style="766" customWidth="1"/>
    <col min="13332" max="13332" width="21" style="766" customWidth="1"/>
    <col min="13333" max="13333" width="14.7109375" style="766" customWidth="1"/>
    <col min="13334" max="13334" width="15" style="766" customWidth="1"/>
    <col min="13335" max="13577" width="9.140625" style="766"/>
    <col min="13578" max="13578" width="2.7109375" style="766" customWidth="1"/>
    <col min="13579" max="13579" width="16.7109375" style="766" customWidth="1"/>
    <col min="13580" max="13585" width="18.85546875" style="766" customWidth="1"/>
    <col min="13586" max="13586" width="18.5703125" style="766" customWidth="1"/>
    <col min="13587" max="13587" width="14.28515625" style="766" customWidth="1"/>
    <col min="13588" max="13588" width="21" style="766" customWidth="1"/>
    <col min="13589" max="13589" width="14.7109375" style="766" customWidth="1"/>
    <col min="13590" max="13590" width="15" style="766" customWidth="1"/>
    <col min="13591" max="13833" width="9.140625" style="766"/>
    <col min="13834" max="13834" width="2.7109375" style="766" customWidth="1"/>
    <col min="13835" max="13835" width="16.7109375" style="766" customWidth="1"/>
    <col min="13836" max="13841" width="18.85546875" style="766" customWidth="1"/>
    <col min="13842" max="13842" width="18.5703125" style="766" customWidth="1"/>
    <col min="13843" max="13843" width="14.28515625" style="766" customWidth="1"/>
    <col min="13844" max="13844" width="21" style="766" customWidth="1"/>
    <col min="13845" max="13845" width="14.7109375" style="766" customWidth="1"/>
    <col min="13846" max="13846" width="15" style="766" customWidth="1"/>
    <col min="13847" max="14089" width="9.140625" style="766"/>
    <col min="14090" max="14090" width="2.7109375" style="766" customWidth="1"/>
    <col min="14091" max="14091" width="16.7109375" style="766" customWidth="1"/>
    <col min="14092" max="14097" width="18.85546875" style="766" customWidth="1"/>
    <col min="14098" max="14098" width="18.5703125" style="766" customWidth="1"/>
    <col min="14099" max="14099" width="14.28515625" style="766" customWidth="1"/>
    <col min="14100" max="14100" width="21" style="766" customWidth="1"/>
    <col min="14101" max="14101" width="14.7109375" style="766" customWidth="1"/>
    <col min="14102" max="14102" width="15" style="766" customWidth="1"/>
    <col min="14103" max="14345" width="9.140625" style="766"/>
    <col min="14346" max="14346" width="2.7109375" style="766" customWidth="1"/>
    <col min="14347" max="14347" width="16.7109375" style="766" customWidth="1"/>
    <col min="14348" max="14353" width="18.85546875" style="766" customWidth="1"/>
    <col min="14354" max="14354" width="18.5703125" style="766" customWidth="1"/>
    <col min="14355" max="14355" width="14.28515625" style="766" customWidth="1"/>
    <col min="14356" max="14356" width="21" style="766" customWidth="1"/>
    <col min="14357" max="14357" width="14.7109375" style="766" customWidth="1"/>
    <col min="14358" max="14358" width="15" style="766" customWidth="1"/>
    <col min="14359" max="14601" width="9.140625" style="766"/>
    <col min="14602" max="14602" width="2.7109375" style="766" customWidth="1"/>
    <col min="14603" max="14603" width="16.7109375" style="766" customWidth="1"/>
    <col min="14604" max="14609" width="18.85546875" style="766" customWidth="1"/>
    <col min="14610" max="14610" width="18.5703125" style="766" customWidth="1"/>
    <col min="14611" max="14611" width="14.28515625" style="766" customWidth="1"/>
    <col min="14612" max="14612" width="21" style="766" customWidth="1"/>
    <col min="14613" max="14613" width="14.7109375" style="766" customWidth="1"/>
    <col min="14614" max="14614" width="15" style="766" customWidth="1"/>
    <col min="14615" max="14857" width="9.140625" style="766"/>
    <col min="14858" max="14858" width="2.7109375" style="766" customWidth="1"/>
    <col min="14859" max="14859" width="16.7109375" style="766" customWidth="1"/>
    <col min="14860" max="14865" width="18.85546875" style="766" customWidth="1"/>
    <col min="14866" max="14866" width="18.5703125" style="766" customWidth="1"/>
    <col min="14867" max="14867" width="14.28515625" style="766" customWidth="1"/>
    <col min="14868" max="14868" width="21" style="766" customWidth="1"/>
    <col min="14869" max="14869" width="14.7109375" style="766" customWidth="1"/>
    <col min="14870" max="14870" width="15" style="766" customWidth="1"/>
    <col min="14871" max="15113" width="9.140625" style="766"/>
    <col min="15114" max="15114" width="2.7109375" style="766" customWidth="1"/>
    <col min="15115" max="15115" width="16.7109375" style="766" customWidth="1"/>
    <col min="15116" max="15121" width="18.85546875" style="766" customWidth="1"/>
    <col min="15122" max="15122" width="18.5703125" style="766" customWidth="1"/>
    <col min="15123" max="15123" width="14.28515625" style="766" customWidth="1"/>
    <col min="15124" max="15124" width="21" style="766" customWidth="1"/>
    <col min="15125" max="15125" width="14.7109375" style="766" customWidth="1"/>
    <col min="15126" max="15126" width="15" style="766" customWidth="1"/>
    <col min="15127" max="15369" width="9.140625" style="766"/>
    <col min="15370" max="15370" width="2.7109375" style="766" customWidth="1"/>
    <col min="15371" max="15371" width="16.7109375" style="766" customWidth="1"/>
    <col min="15372" max="15377" width="18.85546875" style="766" customWidth="1"/>
    <col min="15378" max="15378" width="18.5703125" style="766" customWidth="1"/>
    <col min="15379" max="15379" width="14.28515625" style="766" customWidth="1"/>
    <col min="15380" max="15380" width="21" style="766" customWidth="1"/>
    <col min="15381" max="15381" width="14.7109375" style="766" customWidth="1"/>
    <col min="15382" max="15382" width="15" style="766" customWidth="1"/>
    <col min="15383" max="15625" width="9.140625" style="766"/>
    <col min="15626" max="15626" width="2.7109375" style="766" customWidth="1"/>
    <col min="15627" max="15627" width="16.7109375" style="766" customWidth="1"/>
    <col min="15628" max="15633" width="18.85546875" style="766" customWidth="1"/>
    <col min="15634" max="15634" width="18.5703125" style="766" customWidth="1"/>
    <col min="15635" max="15635" width="14.28515625" style="766" customWidth="1"/>
    <col min="15636" max="15636" width="21" style="766" customWidth="1"/>
    <col min="15637" max="15637" width="14.7109375" style="766" customWidth="1"/>
    <col min="15638" max="15638" width="15" style="766" customWidth="1"/>
    <col min="15639" max="15881" width="9.140625" style="766"/>
    <col min="15882" max="15882" width="2.7109375" style="766" customWidth="1"/>
    <col min="15883" max="15883" width="16.7109375" style="766" customWidth="1"/>
    <col min="15884" max="15889" width="18.85546875" style="766" customWidth="1"/>
    <col min="15890" max="15890" width="18.5703125" style="766" customWidth="1"/>
    <col min="15891" max="15891" width="14.28515625" style="766" customWidth="1"/>
    <col min="15892" max="15892" width="21" style="766" customWidth="1"/>
    <col min="15893" max="15893" width="14.7109375" style="766" customWidth="1"/>
    <col min="15894" max="15894" width="15" style="766" customWidth="1"/>
    <col min="15895" max="16137" width="9.140625" style="766"/>
    <col min="16138" max="16138" width="2.7109375" style="766" customWidth="1"/>
    <col min="16139" max="16139" width="16.7109375" style="766" customWidth="1"/>
    <col min="16140" max="16145" width="18.85546875" style="766" customWidth="1"/>
    <col min="16146" max="16146" width="18.5703125" style="766" customWidth="1"/>
    <col min="16147" max="16147" width="14.28515625" style="766" customWidth="1"/>
    <col min="16148" max="16148" width="21" style="766" customWidth="1"/>
    <col min="16149" max="16149" width="14.7109375" style="766" customWidth="1"/>
    <col min="16150" max="16150" width="15" style="766" customWidth="1"/>
    <col min="16151" max="16384" width="9.140625" style="766"/>
  </cols>
  <sheetData>
    <row r="1" spans="2:35" ht="13.5" thickBot="1" x14ac:dyDescent="0.25"/>
    <row r="2" spans="2:35" s="222" customFormat="1" ht="37.5" customHeight="1" x14ac:dyDescent="0.2">
      <c r="B2" s="2550" t="s">
        <v>111</v>
      </c>
      <c r="C2" s="760" t="s">
        <v>203</v>
      </c>
      <c r="D2" s="760" t="s">
        <v>203</v>
      </c>
      <c r="E2" s="760" t="s">
        <v>203</v>
      </c>
      <c r="F2" s="760" t="s">
        <v>203</v>
      </c>
      <c r="G2" s="760" t="s">
        <v>203</v>
      </c>
      <c r="H2" s="760" t="s">
        <v>203</v>
      </c>
      <c r="I2" s="760" t="s">
        <v>203</v>
      </c>
      <c r="J2" s="760" t="s">
        <v>203</v>
      </c>
      <c r="K2" s="760" t="s">
        <v>203</v>
      </c>
      <c r="L2" s="760" t="s">
        <v>203</v>
      </c>
      <c r="M2" s="760" t="s">
        <v>203</v>
      </c>
      <c r="N2" s="760" t="s">
        <v>203</v>
      </c>
      <c r="O2" s="760" t="s">
        <v>203</v>
      </c>
      <c r="P2" s="760" t="s">
        <v>203</v>
      </c>
      <c r="Q2" s="760" t="s">
        <v>203</v>
      </c>
      <c r="R2" s="760" t="s">
        <v>203</v>
      </c>
      <c r="S2" s="760" t="s">
        <v>203</v>
      </c>
      <c r="T2" s="760" t="s">
        <v>203</v>
      </c>
      <c r="U2" s="760" t="s">
        <v>203</v>
      </c>
      <c r="V2" s="760" t="s">
        <v>203</v>
      </c>
      <c r="W2" s="760" t="s">
        <v>203</v>
      </c>
      <c r="X2" s="760" t="s">
        <v>203</v>
      </c>
      <c r="Y2" s="760" t="s">
        <v>203</v>
      </c>
      <c r="Z2" s="760" t="s">
        <v>203</v>
      </c>
      <c r="AA2" s="760" t="s">
        <v>203</v>
      </c>
      <c r="AB2" s="760" t="s">
        <v>203</v>
      </c>
      <c r="AC2" s="760" t="s">
        <v>203</v>
      </c>
      <c r="AD2" s="1499" t="s">
        <v>203</v>
      </c>
      <c r="AE2" s="1504" t="s">
        <v>203</v>
      </c>
      <c r="AF2" s="1508" t="s">
        <v>444</v>
      </c>
    </row>
    <row r="3" spans="2:35" s="222" customFormat="1" ht="41.25" customHeight="1" x14ac:dyDescent="0.2">
      <c r="B3" s="2551"/>
      <c r="C3" s="761" t="s">
        <v>204</v>
      </c>
      <c r="D3" s="761" t="s">
        <v>205</v>
      </c>
      <c r="E3" s="761" t="s">
        <v>206</v>
      </c>
      <c r="F3" s="761" t="s">
        <v>207</v>
      </c>
      <c r="G3" s="761" t="s">
        <v>208</v>
      </c>
      <c r="H3" s="761" t="s">
        <v>209</v>
      </c>
      <c r="I3" s="761" t="s">
        <v>210</v>
      </c>
      <c r="J3" s="761" t="s">
        <v>211</v>
      </c>
      <c r="K3" s="761" t="s">
        <v>340</v>
      </c>
      <c r="L3" s="761" t="s">
        <v>98</v>
      </c>
      <c r="M3" s="761" t="s">
        <v>341</v>
      </c>
      <c r="N3" s="761" t="s">
        <v>100</v>
      </c>
      <c r="O3" s="761" t="s">
        <v>101</v>
      </c>
      <c r="P3" s="761" t="s">
        <v>268</v>
      </c>
      <c r="Q3" s="761" t="s">
        <v>281</v>
      </c>
      <c r="R3" s="761" t="s">
        <v>334</v>
      </c>
      <c r="S3" s="761" t="s">
        <v>335</v>
      </c>
      <c r="T3" s="761" t="s">
        <v>399</v>
      </c>
      <c r="U3" s="761" t="s">
        <v>400</v>
      </c>
      <c r="V3" s="761" t="s">
        <v>417</v>
      </c>
      <c r="W3" s="761" t="s">
        <v>418</v>
      </c>
      <c r="X3" s="761" t="s">
        <v>468</v>
      </c>
      <c r="Y3" s="761" t="s">
        <v>446</v>
      </c>
      <c r="Z3" s="761" t="s">
        <v>602</v>
      </c>
      <c r="AA3" s="761" t="s">
        <v>603</v>
      </c>
      <c r="AB3" s="761">
        <v>2019</v>
      </c>
      <c r="AC3" s="761">
        <v>2020</v>
      </c>
      <c r="AD3" s="1500">
        <v>2021</v>
      </c>
      <c r="AE3" s="2552">
        <v>2022</v>
      </c>
      <c r="AF3" s="2553"/>
    </row>
    <row r="4" spans="2:35" ht="34.5" customHeight="1" x14ac:dyDescent="0.2">
      <c r="B4" s="762" t="s">
        <v>461</v>
      </c>
      <c r="C4" s="763">
        <v>0</v>
      </c>
      <c r="D4" s="764">
        <v>4</v>
      </c>
      <c r="E4" s="764">
        <v>2</v>
      </c>
      <c r="F4" s="764">
        <v>0</v>
      </c>
      <c r="G4" s="764">
        <v>0</v>
      </c>
      <c r="H4" s="764">
        <v>0</v>
      </c>
      <c r="I4" s="764">
        <v>0</v>
      </c>
      <c r="J4" s="764">
        <v>1</v>
      </c>
      <c r="K4" s="764">
        <v>0</v>
      </c>
      <c r="L4" s="764">
        <v>0</v>
      </c>
      <c r="M4" s="764">
        <v>0</v>
      </c>
      <c r="N4" s="764">
        <v>0</v>
      </c>
      <c r="O4" s="764">
        <v>0</v>
      </c>
      <c r="P4" s="764">
        <v>0</v>
      </c>
      <c r="Q4" s="764">
        <v>0</v>
      </c>
      <c r="R4" s="764">
        <v>0</v>
      </c>
      <c r="S4" s="764">
        <v>0</v>
      </c>
      <c r="T4" s="764">
        <v>0</v>
      </c>
      <c r="U4" s="764">
        <v>0</v>
      </c>
      <c r="V4" s="764">
        <v>0</v>
      </c>
      <c r="W4" s="764">
        <v>0</v>
      </c>
      <c r="X4" s="764">
        <v>0</v>
      </c>
      <c r="Y4" s="764">
        <v>0</v>
      </c>
      <c r="Z4" s="764">
        <v>1</v>
      </c>
      <c r="AA4" s="764">
        <v>0</v>
      </c>
      <c r="AB4" s="764">
        <v>0</v>
      </c>
      <c r="AC4" s="764">
        <v>0</v>
      </c>
      <c r="AD4" s="1501">
        <v>0</v>
      </c>
      <c r="AE4" s="1505">
        <v>0</v>
      </c>
      <c r="AF4" s="1509"/>
      <c r="AG4" s="765">
        <f>SUM(C4:AE4)</f>
        <v>8</v>
      </c>
      <c r="AH4" s="222"/>
      <c r="AI4" s="222"/>
    </row>
    <row r="5" spans="2:35" ht="34.5" customHeight="1" x14ac:dyDescent="0.2">
      <c r="B5" s="767" t="s">
        <v>472</v>
      </c>
      <c r="C5" s="763">
        <v>4</v>
      </c>
      <c r="D5" s="764">
        <v>1</v>
      </c>
      <c r="E5" s="764">
        <v>1</v>
      </c>
      <c r="F5" s="764">
        <v>4</v>
      </c>
      <c r="G5" s="764">
        <v>0</v>
      </c>
      <c r="H5" s="764">
        <v>0</v>
      </c>
      <c r="I5" s="764">
        <v>0</v>
      </c>
      <c r="J5" s="764">
        <v>0</v>
      </c>
      <c r="K5" s="764">
        <v>0</v>
      </c>
      <c r="L5" s="764">
        <v>0</v>
      </c>
      <c r="M5" s="764">
        <v>0</v>
      </c>
      <c r="N5" s="764">
        <v>2</v>
      </c>
      <c r="O5" s="764">
        <v>0</v>
      </c>
      <c r="P5" s="764">
        <v>0</v>
      </c>
      <c r="Q5" s="764">
        <v>0</v>
      </c>
      <c r="R5" s="764">
        <v>0</v>
      </c>
      <c r="S5" s="764">
        <v>0</v>
      </c>
      <c r="T5" s="764">
        <v>0</v>
      </c>
      <c r="U5" s="764">
        <v>0</v>
      </c>
      <c r="V5" s="764">
        <v>0</v>
      </c>
      <c r="W5" s="764">
        <v>0</v>
      </c>
      <c r="X5" s="764">
        <v>0</v>
      </c>
      <c r="Y5" s="764">
        <v>0</v>
      </c>
      <c r="Z5" s="764">
        <v>0</v>
      </c>
      <c r="AA5" s="764">
        <v>0</v>
      </c>
      <c r="AB5" s="764">
        <v>0</v>
      </c>
      <c r="AC5" s="764">
        <v>0</v>
      </c>
      <c r="AD5" s="1501">
        <v>0</v>
      </c>
      <c r="AE5" s="1505">
        <v>0</v>
      </c>
      <c r="AF5" s="1509"/>
      <c r="AG5" s="765">
        <f t="shared" ref="AG5:AG18" si="0">SUM(C5:AE5)</f>
        <v>12</v>
      </c>
      <c r="AH5" s="222"/>
      <c r="AI5" s="222"/>
    </row>
    <row r="6" spans="2:35" ht="35.1" customHeight="1" x14ac:dyDescent="0.2">
      <c r="B6" s="767" t="s">
        <v>105</v>
      </c>
      <c r="C6" s="763">
        <v>7</v>
      </c>
      <c r="D6" s="764">
        <v>3</v>
      </c>
      <c r="E6" s="764">
        <v>2</v>
      </c>
      <c r="F6" s="764">
        <v>2</v>
      </c>
      <c r="G6" s="764">
        <v>0</v>
      </c>
      <c r="H6" s="764">
        <v>2</v>
      </c>
      <c r="I6" s="764">
        <v>0</v>
      </c>
      <c r="J6" s="764">
        <v>0</v>
      </c>
      <c r="K6" s="764">
        <v>0</v>
      </c>
      <c r="L6" s="764">
        <v>0</v>
      </c>
      <c r="M6" s="764">
        <v>0</v>
      </c>
      <c r="N6" s="764">
        <v>1</v>
      </c>
      <c r="O6" s="764">
        <v>0</v>
      </c>
      <c r="P6" s="764">
        <v>1</v>
      </c>
      <c r="Q6" s="764">
        <v>0</v>
      </c>
      <c r="R6" s="764">
        <v>0</v>
      </c>
      <c r="S6" s="764">
        <v>0</v>
      </c>
      <c r="T6" s="764">
        <v>0</v>
      </c>
      <c r="U6" s="764">
        <v>0</v>
      </c>
      <c r="V6" s="764">
        <v>0</v>
      </c>
      <c r="W6" s="764">
        <v>0</v>
      </c>
      <c r="X6" s="764">
        <v>0</v>
      </c>
      <c r="Y6" s="764">
        <v>0</v>
      </c>
      <c r="Z6" s="764">
        <v>0</v>
      </c>
      <c r="AA6" s="764">
        <v>0</v>
      </c>
      <c r="AB6" s="764">
        <v>0</v>
      </c>
      <c r="AC6" s="764">
        <v>0</v>
      </c>
      <c r="AD6" s="1501">
        <v>0</v>
      </c>
      <c r="AE6" s="1505">
        <v>0</v>
      </c>
      <c r="AF6" s="1509"/>
      <c r="AG6" s="765">
        <f t="shared" si="0"/>
        <v>18</v>
      </c>
      <c r="AH6" s="222"/>
      <c r="AI6" s="222"/>
    </row>
    <row r="7" spans="2:35" ht="35.1" customHeight="1" x14ac:dyDescent="0.2">
      <c r="B7" s="767" t="s">
        <v>107</v>
      </c>
      <c r="C7" s="763">
        <v>2</v>
      </c>
      <c r="D7" s="764">
        <v>4</v>
      </c>
      <c r="E7" s="764">
        <v>0</v>
      </c>
      <c r="F7" s="764">
        <v>1</v>
      </c>
      <c r="G7" s="764">
        <v>0</v>
      </c>
      <c r="H7" s="764">
        <v>0</v>
      </c>
      <c r="I7" s="764">
        <v>1</v>
      </c>
      <c r="J7" s="764">
        <v>0</v>
      </c>
      <c r="K7" s="764">
        <v>0</v>
      </c>
      <c r="L7" s="764">
        <v>0</v>
      </c>
      <c r="M7" s="764">
        <v>0</v>
      </c>
      <c r="N7" s="764">
        <v>0</v>
      </c>
      <c r="O7" s="764">
        <v>0</v>
      </c>
      <c r="P7" s="764">
        <v>1</v>
      </c>
      <c r="Q7" s="764">
        <v>3</v>
      </c>
      <c r="R7" s="764">
        <v>0</v>
      </c>
      <c r="S7" s="764">
        <v>0</v>
      </c>
      <c r="T7" s="764">
        <v>0</v>
      </c>
      <c r="U7" s="764">
        <v>2</v>
      </c>
      <c r="V7" s="764">
        <v>0</v>
      </c>
      <c r="W7" s="764">
        <v>3</v>
      </c>
      <c r="X7" s="764">
        <v>0</v>
      </c>
      <c r="Y7" s="764">
        <v>0</v>
      </c>
      <c r="Z7" s="764">
        <v>0</v>
      </c>
      <c r="AA7" s="764">
        <v>0</v>
      </c>
      <c r="AB7" s="764">
        <v>1</v>
      </c>
      <c r="AC7" s="764">
        <v>1</v>
      </c>
      <c r="AD7" s="1501">
        <v>0</v>
      </c>
      <c r="AE7" s="1505">
        <v>0</v>
      </c>
      <c r="AF7" s="1509">
        <v>1</v>
      </c>
      <c r="AG7" s="765">
        <f>SUM(C7:AF7)</f>
        <v>20</v>
      </c>
      <c r="AH7" s="222"/>
      <c r="AI7" s="222"/>
    </row>
    <row r="8" spans="2:35" ht="35.1" customHeight="1" x14ac:dyDescent="0.2">
      <c r="B8" s="762" t="s">
        <v>115</v>
      </c>
      <c r="C8" s="763">
        <v>15</v>
      </c>
      <c r="D8" s="764">
        <v>10</v>
      </c>
      <c r="E8" s="764">
        <v>2</v>
      </c>
      <c r="F8" s="764">
        <v>0</v>
      </c>
      <c r="G8" s="764">
        <v>4</v>
      </c>
      <c r="H8" s="764">
        <v>3</v>
      </c>
      <c r="I8" s="764">
        <v>1</v>
      </c>
      <c r="J8" s="764">
        <v>1</v>
      </c>
      <c r="K8" s="764">
        <v>0</v>
      </c>
      <c r="L8" s="764">
        <v>4</v>
      </c>
      <c r="M8" s="764">
        <v>0</v>
      </c>
      <c r="N8" s="764">
        <v>1</v>
      </c>
      <c r="O8" s="764">
        <v>0</v>
      </c>
      <c r="P8" s="764">
        <v>1</v>
      </c>
      <c r="Q8" s="764">
        <v>0</v>
      </c>
      <c r="R8" s="764">
        <v>0</v>
      </c>
      <c r="S8" s="764">
        <v>0</v>
      </c>
      <c r="T8" s="764">
        <v>0</v>
      </c>
      <c r="U8" s="764">
        <v>0</v>
      </c>
      <c r="V8" s="764">
        <v>0</v>
      </c>
      <c r="W8" s="764">
        <v>0</v>
      </c>
      <c r="X8" s="764">
        <v>0</v>
      </c>
      <c r="Y8" s="764">
        <v>0</v>
      </c>
      <c r="Z8" s="764">
        <v>0</v>
      </c>
      <c r="AA8" s="764">
        <v>0</v>
      </c>
      <c r="AB8" s="764">
        <v>0</v>
      </c>
      <c r="AC8" s="764">
        <v>0</v>
      </c>
      <c r="AD8" s="1501">
        <v>0</v>
      </c>
      <c r="AE8" s="1505">
        <v>0</v>
      </c>
      <c r="AF8" s="1509">
        <v>1</v>
      </c>
      <c r="AG8" s="765">
        <f>SUM(C8:AF8)</f>
        <v>43</v>
      </c>
      <c r="AH8" s="222"/>
      <c r="AI8" s="222"/>
    </row>
    <row r="9" spans="2:35" ht="34.5" customHeight="1" x14ac:dyDescent="0.2">
      <c r="B9" s="767" t="s">
        <v>109</v>
      </c>
      <c r="C9" s="763">
        <v>5</v>
      </c>
      <c r="D9" s="764">
        <v>3</v>
      </c>
      <c r="E9" s="764">
        <v>0</v>
      </c>
      <c r="F9" s="764">
        <v>1</v>
      </c>
      <c r="G9" s="764">
        <v>0</v>
      </c>
      <c r="H9" s="764">
        <v>1</v>
      </c>
      <c r="I9" s="764">
        <v>0</v>
      </c>
      <c r="J9" s="764">
        <v>1</v>
      </c>
      <c r="K9" s="764">
        <v>0</v>
      </c>
      <c r="L9" s="764">
        <v>0</v>
      </c>
      <c r="M9" s="764">
        <v>0</v>
      </c>
      <c r="N9" s="764">
        <v>0</v>
      </c>
      <c r="O9" s="764">
        <v>0</v>
      </c>
      <c r="P9" s="764">
        <v>0</v>
      </c>
      <c r="Q9" s="764">
        <v>0</v>
      </c>
      <c r="R9" s="764">
        <v>0</v>
      </c>
      <c r="S9" s="764">
        <v>0</v>
      </c>
      <c r="T9" s="764">
        <v>1</v>
      </c>
      <c r="U9" s="764">
        <v>0</v>
      </c>
      <c r="V9" s="764">
        <v>0</v>
      </c>
      <c r="W9" s="764">
        <v>1</v>
      </c>
      <c r="X9" s="764">
        <v>0</v>
      </c>
      <c r="Y9" s="764">
        <v>0</v>
      </c>
      <c r="Z9" s="764">
        <v>0</v>
      </c>
      <c r="AA9" s="764">
        <v>0</v>
      </c>
      <c r="AB9" s="764">
        <v>1</v>
      </c>
      <c r="AC9" s="764">
        <v>1</v>
      </c>
      <c r="AD9" s="1501">
        <v>0</v>
      </c>
      <c r="AE9" s="1505">
        <v>0</v>
      </c>
      <c r="AF9" s="1509"/>
      <c r="AG9" s="765">
        <f t="shared" si="0"/>
        <v>15</v>
      </c>
      <c r="AH9" s="222"/>
      <c r="AI9" s="222"/>
    </row>
    <row r="10" spans="2:35" ht="34.5" customHeight="1" x14ac:dyDescent="0.2">
      <c r="B10" s="762" t="s">
        <v>213</v>
      </c>
      <c r="C10" s="763">
        <v>0</v>
      </c>
      <c r="D10" s="764">
        <v>4</v>
      </c>
      <c r="E10" s="764">
        <v>0</v>
      </c>
      <c r="F10" s="764">
        <v>2</v>
      </c>
      <c r="G10" s="764">
        <v>4</v>
      </c>
      <c r="H10" s="764">
        <v>2</v>
      </c>
      <c r="I10" s="764">
        <v>0</v>
      </c>
      <c r="J10" s="764">
        <v>0</v>
      </c>
      <c r="K10" s="764">
        <v>0</v>
      </c>
      <c r="L10" s="764">
        <v>0</v>
      </c>
      <c r="M10" s="764">
        <v>0</v>
      </c>
      <c r="N10" s="764">
        <v>0</v>
      </c>
      <c r="O10" s="764">
        <v>0</v>
      </c>
      <c r="P10" s="764">
        <v>1</v>
      </c>
      <c r="Q10" s="764">
        <v>0</v>
      </c>
      <c r="R10" s="764">
        <v>0</v>
      </c>
      <c r="S10" s="764">
        <v>0</v>
      </c>
      <c r="T10" s="764">
        <v>0</v>
      </c>
      <c r="U10" s="764">
        <v>0</v>
      </c>
      <c r="V10" s="764">
        <v>0</v>
      </c>
      <c r="W10" s="764">
        <v>0</v>
      </c>
      <c r="X10" s="764">
        <v>0</v>
      </c>
      <c r="Y10" s="764">
        <v>0</v>
      </c>
      <c r="Z10" s="764">
        <v>0</v>
      </c>
      <c r="AA10" s="764">
        <v>0</v>
      </c>
      <c r="AB10" s="764">
        <v>0</v>
      </c>
      <c r="AC10" s="764">
        <v>0</v>
      </c>
      <c r="AD10" s="1501">
        <v>0</v>
      </c>
      <c r="AE10" s="1505">
        <v>0</v>
      </c>
      <c r="AF10" s="1509"/>
      <c r="AG10" s="765">
        <f t="shared" si="0"/>
        <v>13</v>
      </c>
      <c r="AH10" s="222"/>
      <c r="AI10" s="222"/>
    </row>
    <row r="11" spans="2:35" ht="35.1" customHeight="1" x14ac:dyDescent="0.2">
      <c r="B11" s="768" t="s">
        <v>214</v>
      </c>
      <c r="C11" s="763">
        <v>2</v>
      </c>
      <c r="D11" s="764">
        <v>1</v>
      </c>
      <c r="E11" s="764">
        <v>1</v>
      </c>
      <c r="F11" s="764">
        <v>1</v>
      </c>
      <c r="G11" s="764">
        <v>3</v>
      </c>
      <c r="H11" s="764">
        <v>1</v>
      </c>
      <c r="I11" s="764">
        <v>1</v>
      </c>
      <c r="J11" s="764">
        <v>0</v>
      </c>
      <c r="K11" s="764">
        <v>0</v>
      </c>
      <c r="L11" s="764">
        <v>1</v>
      </c>
      <c r="M11" s="764">
        <v>0</v>
      </c>
      <c r="N11" s="764">
        <v>0</v>
      </c>
      <c r="O11" s="764">
        <v>0</v>
      </c>
      <c r="P11" s="764">
        <v>1</v>
      </c>
      <c r="Q11" s="764">
        <v>0</v>
      </c>
      <c r="R11" s="764">
        <v>0</v>
      </c>
      <c r="S11" s="764">
        <v>0</v>
      </c>
      <c r="T11" s="764">
        <v>0</v>
      </c>
      <c r="U11" s="764">
        <v>0</v>
      </c>
      <c r="V11" s="764">
        <v>0</v>
      </c>
      <c r="W11" s="764">
        <v>0</v>
      </c>
      <c r="X11" s="764">
        <v>0</v>
      </c>
      <c r="Y11" s="764">
        <v>0</v>
      </c>
      <c r="Z11" s="764">
        <v>0</v>
      </c>
      <c r="AA11" s="764">
        <v>0</v>
      </c>
      <c r="AB11" s="764">
        <v>0</v>
      </c>
      <c r="AC11" s="764">
        <v>0</v>
      </c>
      <c r="AD11" s="1501">
        <v>0</v>
      </c>
      <c r="AE11" s="1505">
        <v>0</v>
      </c>
      <c r="AF11" s="1509">
        <v>2</v>
      </c>
      <c r="AG11" s="765">
        <f>SUM(C11:AF11)</f>
        <v>14</v>
      </c>
      <c r="AH11" s="222"/>
      <c r="AI11" s="222"/>
    </row>
    <row r="12" spans="2:35" ht="35.1" customHeight="1" x14ac:dyDescent="0.2">
      <c r="B12" s="767" t="s">
        <v>108</v>
      </c>
      <c r="C12" s="763">
        <v>4</v>
      </c>
      <c r="D12" s="764">
        <v>3</v>
      </c>
      <c r="E12" s="764">
        <v>1</v>
      </c>
      <c r="F12" s="764">
        <v>2</v>
      </c>
      <c r="G12" s="764">
        <v>4</v>
      </c>
      <c r="H12" s="764">
        <v>0</v>
      </c>
      <c r="I12" s="764">
        <v>0</v>
      </c>
      <c r="J12" s="764">
        <v>2</v>
      </c>
      <c r="K12" s="764">
        <v>0</v>
      </c>
      <c r="L12" s="764">
        <v>0</v>
      </c>
      <c r="M12" s="764">
        <v>0</v>
      </c>
      <c r="N12" s="764">
        <v>0</v>
      </c>
      <c r="O12" s="764">
        <v>0</v>
      </c>
      <c r="P12" s="764">
        <v>0</v>
      </c>
      <c r="Q12" s="764">
        <v>0</v>
      </c>
      <c r="R12" s="764">
        <v>0</v>
      </c>
      <c r="S12" s="764">
        <v>0</v>
      </c>
      <c r="T12" s="764">
        <v>0</v>
      </c>
      <c r="U12" s="764">
        <v>1</v>
      </c>
      <c r="V12" s="764">
        <v>0</v>
      </c>
      <c r="W12" s="764">
        <v>0</v>
      </c>
      <c r="X12" s="764">
        <v>0</v>
      </c>
      <c r="Y12" s="764">
        <v>0</v>
      </c>
      <c r="Z12" s="764">
        <v>0</v>
      </c>
      <c r="AA12" s="764">
        <v>0</v>
      </c>
      <c r="AB12" s="764">
        <v>0</v>
      </c>
      <c r="AC12" s="764">
        <v>0</v>
      </c>
      <c r="AD12" s="1501">
        <v>0</v>
      </c>
      <c r="AE12" s="1505">
        <v>0</v>
      </c>
      <c r="AF12" s="1509"/>
      <c r="AG12" s="765">
        <f t="shared" si="0"/>
        <v>17</v>
      </c>
      <c r="AH12" s="222"/>
      <c r="AI12" s="222"/>
    </row>
    <row r="13" spans="2:35" ht="35.1" customHeight="1" x14ac:dyDescent="0.2">
      <c r="B13" s="767" t="s">
        <v>134</v>
      </c>
      <c r="C13" s="763">
        <v>7</v>
      </c>
      <c r="D13" s="764">
        <v>3</v>
      </c>
      <c r="E13" s="764">
        <v>4</v>
      </c>
      <c r="F13" s="764">
        <v>7</v>
      </c>
      <c r="G13" s="764">
        <v>7</v>
      </c>
      <c r="H13" s="764">
        <v>5</v>
      </c>
      <c r="I13" s="764">
        <v>13</v>
      </c>
      <c r="J13" s="764">
        <v>4</v>
      </c>
      <c r="K13" s="764">
        <v>0</v>
      </c>
      <c r="L13" s="764">
        <v>0</v>
      </c>
      <c r="M13" s="764">
        <v>0</v>
      </c>
      <c r="N13" s="764">
        <v>1</v>
      </c>
      <c r="O13" s="764">
        <v>0</v>
      </c>
      <c r="P13" s="764">
        <v>0</v>
      </c>
      <c r="Q13" s="764">
        <v>0</v>
      </c>
      <c r="R13" s="764">
        <v>0</v>
      </c>
      <c r="S13" s="764">
        <v>0</v>
      </c>
      <c r="T13" s="764">
        <v>0</v>
      </c>
      <c r="U13" s="764">
        <v>0</v>
      </c>
      <c r="V13" s="764">
        <v>0</v>
      </c>
      <c r="W13" s="764">
        <v>0</v>
      </c>
      <c r="X13" s="764">
        <v>0</v>
      </c>
      <c r="Y13" s="764">
        <v>0</v>
      </c>
      <c r="Z13" s="764">
        <v>0</v>
      </c>
      <c r="AA13" s="764">
        <v>0</v>
      </c>
      <c r="AB13" s="764">
        <v>0</v>
      </c>
      <c r="AC13" s="764">
        <v>0</v>
      </c>
      <c r="AD13" s="1501">
        <v>0</v>
      </c>
      <c r="AE13" s="1505">
        <v>0</v>
      </c>
      <c r="AF13" s="1509"/>
      <c r="AG13" s="765">
        <f t="shared" si="0"/>
        <v>51</v>
      </c>
      <c r="AH13" s="222"/>
      <c r="AI13" s="222"/>
    </row>
    <row r="14" spans="2:35" ht="35.1" customHeight="1" x14ac:dyDescent="0.2">
      <c r="B14" s="762" t="s">
        <v>116</v>
      </c>
      <c r="C14" s="763">
        <v>3</v>
      </c>
      <c r="D14" s="764">
        <v>3</v>
      </c>
      <c r="E14" s="764">
        <v>6</v>
      </c>
      <c r="F14" s="764">
        <v>1</v>
      </c>
      <c r="G14" s="764">
        <v>3</v>
      </c>
      <c r="H14" s="764">
        <v>0</v>
      </c>
      <c r="I14" s="764">
        <v>0</v>
      </c>
      <c r="J14" s="764">
        <v>0</v>
      </c>
      <c r="K14" s="764">
        <v>0</v>
      </c>
      <c r="L14" s="764">
        <v>0</v>
      </c>
      <c r="M14" s="764">
        <v>0</v>
      </c>
      <c r="N14" s="764">
        <v>1</v>
      </c>
      <c r="O14" s="764">
        <v>1</v>
      </c>
      <c r="P14" s="764">
        <v>0</v>
      </c>
      <c r="Q14" s="764">
        <v>0</v>
      </c>
      <c r="R14" s="764">
        <v>0</v>
      </c>
      <c r="S14" s="764">
        <v>0</v>
      </c>
      <c r="T14" s="764">
        <v>0</v>
      </c>
      <c r="U14" s="764">
        <v>1</v>
      </c>
      <c r="V14" s="764">
        <v>1</v>
      </c>
      <c r="W14" s="764">
        <v>0</v>
      </c>
      <c r="X14" s="764">
        <v>1</v>
      </c>
      <c r="Y14" s="764">
        <v>0</v>
      </c>
      <c r="Z14" s="764">
        <v>0</v>
      </c>
      <c r="AA14" s="764">
        <v>1</v>
      </c>
      <c r="AB14" s="764">
        <v>2</v>
      </c>
      <c r="AC14" s="764">
        <v>0</v>
      </c>
      <c r="AD14" s="1501">
        <v>1</v>
      </c>
      <c r="AE14" s="1505">
        <v>0</v>
      </c>
      <c r="AF14" s="1509">
        <v>1</v>
      </c>
      <c r="AG14" s="765">
        <f>SUM(C14:AF14)</f>
        <v>26</v>
      </c>
      <c r="AH14" s="222"/>
      <c r="AI14" s="222"/>
    </row>
    <row r="15" spans="2:35" ht="35.1" customHeight="1" x14ac:dyDescent="0.2">
      <c r="B15" s="762" t="s">
        <v>412</v>
      </c>
      <c r="C15" s="763"/>
      <c r="D15" s="764"/>
      <c r="E15" s="764"/>
      <c r="F15" s="764"/>
      <c r="G15" s="764"/>
      <c r="H15" s="764"/>
      <c r="I15" s="764"/>
      <c r="J15" s="764"/>
      <c r="K15" s="764"/>
      <c r="L15" s="764"/>
      <c r="M15" s="764"/>
      <c r="N15" s="764"/>
      <c r="O15" s="764"/>
      <c r="P15" s="764"/>
      <c r="Q15" s="764"/>
      <c r="R15" s="764"/>
      <c r="S15" s="764"/>
      <c r="T15" s="764"/>
      <c r="U15" s="764"/>
      <c r="V15" s="764">
        <v>3</v>
      </c>
      <c r="W15" s="764">
        <v>0</v>
      </c>
      <c r="X15" s="764">
        <v>2</v>
      </c>
      <c r="Y15" s="764">
        <v>0</v>
      </c>
      <c r="Z15" s="764">
        <v>2</v>
      </c>
      <c r="AA15" s="764">
        <v>1</v>
      </c>
      <c r="AB15" s="764">
        <v>0</v>
      </c>
      <c r="AC15" s="764">
        <v>0</v>
      </c>
      <c r="AD15" s="1501">
        <v>2</v>
      </c>
      <c r="AE15" s="1505">
        <v>0</v>
      </c>
      <c r="AF15" s="1509"/>
      <c r="AG15" s="765">
        <f t="shared" si="0"/>
        <v>10</v>
      </c>
      <c r="AH15" s="222"/>
      <c r="AI15" s="222"/>
    </row>
    <row r="16" spans="2:35" ht="35.1" customHeight="1" x14ac:dyDescent="0.2">
      <c r="B16" s="762" t="s">
        <v>469</v>
      </c>
      <c r="C16" s="763"/>
      <c r="D16" s="764"/>
      <c r="E16" s="764"/>
      <c r="F16" s="764"/>
      <c r="G16" s="764"/>
      <c r="H16" s="764"/>
      <c r="I16" s="764"/>
      <c r="J16" s="764"/>
      <c r="K16" s="764"/>
      <c r="L16" s="764"/>
      <c r="M16" s="764"/>
      <c r="N16" s="764"/>
      <c r="O16" s="764"/>
      <c r="P16" s="764"/>
      <c r="Q16" s="764"/>
      <c r="R16" s="764"/>
      <c r="S16" s="764"/>
      <c r="T16" s="764"/>
      <c r="U16" s="764"/>
      <c r="V16" s="764"/>
      <c r="W16" s="764"/>
      <c r="X16" s="764">
        <v>4</v>
      </c>
      <c r="Y16" s="764">
        <v>0</v>
      </c>
      <c r="Z16" s="764">
        <v>1</v>
      </c>
      <c r="AA16" s="764">
        <v>0</v>
      </c>
      <c r="AB16" s="764">
        <v>0</v>
      </c>
      <c r="AC16" s="764">
        <v>0</v>
      </c>
      <c r="AD16" s="1501">
        <v>0</v>
      </c>
      <c r="AE16" s="1505">
        <v>1</v>
      </c>
      <c r="AF16" s="1509">
        <v>3</v>
      </c>
      <c r="AG16" s="765">
        <f>SUM(C16:AF16)</f>
        <v>9</v>
      </c>
      <c r="AH16" s="222"/>
      <c r="AI16" s="222"/>
    </row>
    <row r="17" spans="2:35" ht="35.1" customHeight="1" x14ac:dyDescent="0.2">
      <c r="B17" s="762" t="s">
        <v>450</v>
      </c>
      <c r="C17" s="763"/>
      <c r="D17" s="764"/>
      <c r="E17" s="764"/>
      <c r="F17" s="764"/>
      <c r="G17" s="764"/>
      <c r="H17" s="764"/>
      <c r="I17" s="764"/>
      <c r="J17" s="764"/>
      <c r="K17" s="764"/>
      <c r="L17" s="764"/>
      <c r="M17" s="764"/>
      <c r="N17" s="764"/>
      <c r="O17" s="764"/>
      <c r="P17" s="764"/>
      <c r="Q17" s="764"/>
      <c r="R17" s="764"/>
      <c r="S17" s="764"/>
      <c r="T17" s="764"/>
      <c r="U17" s="764"/>
      <c r="V17" s="764"/>
      <c r="W17" s="764"/>
      <c r="X17" s="764">
        <v>1</v>
      </c>
      <c r="Y17" s="764">
        <v>0</v>
      </c>
      <c r="Z17" s="764">
        <v>0</v>
      </c>
      <c r="AA17" s="764">
        <v>0</v>
      </c>
      <c r="AB17" s="764">
        <v>0</v>
      </c>
      <c r="AC17" s="764">
        <v>0</v>
      </c>
      <c r="AD17" s="1501">
        <v>1</v>
      </c>
      <c r="AE17" s="1505">
        <v>0</v>
      </c>
      <c r="AF17" s="1509">
        <v>3</v>
      </c>
      <c r="AG17" s="765">
        <f>SUM(C17:AF17)</f>
        <v>5</v>
      </c>
      <c r="AH17" s="222"/>
      <c r="AI17" s="222"/>
    </row>
    <row r="18" spans="2:35" ht="35.1" customHeight="1" x14ac:dyDescent="0.2">
      <c r="B18" s="762" t="s">
        <v>609</v>
      </c>
      <c r="C18" s="763"/>
      <c r="D18" s="764"/>
      <c r="E18" s="764"/>
      <c r="F18" s="764"/>
      <c r="G18" s="764"/>
      <c r="H18" s="764"/>
      <c r="I18" s="764"/>
      <c r="J18" s="764"/>
      <c r="K18" s="764"/>
      <c r="L18" s="764"/>
      <c r="M18" s="764"/>
      <c r="N18" s="764"/>
      <c r="O18" s="764"/>
      <c r="P18" s="764"/>
      <c r="Q18" s="764"/>
      <c r="R18" s="764"/>
      <c r="S18" s="764"/>
      <c r="T18" s="764"/>
      <c r="U18" s="764"/>
      <c r="V18" s="764"/>
      <c r="W18" s="764"/>
      <c r="X18" s="764">
        <v>0</v>
      </c>
      <c r="Y18" s="764">
        <v>0</v>
      </c>
      <c r="Z18" s="764">
        <v>4</v>
      </c>
      <c r="AA18" s="764">
        <v>0</v>
      </c>
      <c r="AB18" s="764">
        <v>0</v>
      </c>
      <c r="AC18" s="764">
        <v>0</v>
      </c>
      <c r="AD18" s="1501">
        <v>0</v>
      </c>
      <c r="AE18" s="1505">
        <v>0</v>
      </c>
      <c r="AF18" s="1509"/>
      <c r="AG18" s="765">
        <f t="shared" si="0"/>
        <v>4</v>
      </c>
      <c r="AH18" s="222"/>
      <c r="AI18" s="222"/>
    </row>
    <row r="19" spans="2:35" ht="35.1" customHeight="1" x14ac:dyDescent="0.2">
      <c r="B19" s="762" t="s">
        <v>447</v>
      </c>
      <c r="C19" s="763"/>
      <c r="D19" s="764"/>
      <c r="E19" s="764"/>
      <c r="F19" s="764"/>
      <c r="G19" s="764"/>
      <c r="H19" s="764"/>
      <c r="I19" s="764"/>
      <c r="J19" s="764"/>
      <c r="K19" s="764"/>
      <c r="L19" s="764"/>
      <c r="M19" s="764"/>
      <c r="N19" s="764"/>
      <c r="O19" s="764"/>
      <c r="P19" s="764"/>
      <c r="Q19" s="764"/>
      <c r="R19" s="764"/>
      <c r="S19" s="764"/>
      <c r="T19" s="764"/>
      <c r="U19" s="764"/>
      <c r="V19" s="764"/>
      <c r="W19" s="764"/>
      <c r="X19" s="764">
        <v>0</v>
      </c>
      <c r="Y19" s="764">
        <v>0</v>
      </c>
      <c r="Z19" s="764">
        <v>8</v>
      </c>
      <c r="AA19" s="764">
        <v>0</v>
      </c>
      <c r="AB19" s="764">
        <v>0</v>
      </c>
      <c r="AC19" s="764">
        <v>0</v>
      </c>
      <c r="AD19" s="1501">
        <v>1</v>
      </c>
      <c r="AE19" s="1505">
        <v>4</v>
      </c>
      <c r="AF19" s="1509">
        <v>9</v>
      </c>
      <c r="AG19" s="765">
        <f>SUM(C19:AF19)</f>
        <v>22</v>
      </c>
      <c r="AH19" s="222"/>
      <c r="AI19" s="222"/>
    </row>
    <row r="20" spans="2:35" ht="34.5" hidden="1" customHeight="1" x14ac:dyDescent="0.2">
      <c r="B20" s="762"/>
      <c r="C20" s="763"/>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1501"/>
      <c r="AE20" s="1505"/>
      <c r="AF20" s="1509"/>
      <c r="AG20" s="765">
        <f t="shared" ref="AG20:AG21" si="1">SUM(C20:AD20)</f>
        <v>0</v>
      </c>
      <c r="AH20" s="222"/>
      <c r="AI20" s="222"/>
    </row>
    <row r="21" spans="2:35" ht="35.1" hidden="1" customHeight="1" x14ac:dyDescent="0.2">
      <c r="B21" s="762"/>
      <c r="C21" s="763"/>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1501"/>
      <c r="AE21" s="1505"/>
      <c r="AF21" s="1509"/>
      <c r="AG21" s="765">
        <f t="shared" si="1"/>
        <v>0</v>
      </c>
      <c r="AH21" s="222"/>
      <c r="AI21" s="222"/>
    </row>
    <row r="22" spans="2:35" ht="23.25" x14ac:dyDescent="0.25">
      <c r="B22" s="769" t="s">
        <v>117</v>
      </c>
      <c r="C22" s="770">
        <f t="shared" ref="C22:S22" si="2">SUM(C4:C14)</f>
        <v>49</v>
      </c>
      <c r="D22" s="770">
        <f t="shared" si="2"/>
        <v>39</v>
      </c>
      <c r="E22" s="770">
        <f t="shared" si="2"/>
        <v>19</v>
      </c>
      <c r="F22" s="770">
        <f t="shared" si="2"/>
        <v>21</v>
      </c>
      <c r="G22" s="770">
        <f t="shared" si="2"/>
        <v>25</v>
      </c>
      <c r="H22" s="770">
        <f t="shared" si="2"/>
        <v>14</v>
      </c>
      <c r="I22" s="770">
        <f t="shared" si="2"/>
        <v>16</v>
      </c>
      <c r="J22" s="770">
        <f t="shared" si="2"/>
        <v>9</v>
      </c>
      <c r="K22" s="770">
        <v>0</v>
      </c>
      <c r="L22" s="770">
        <f t="shared" si="2"/>
        <v>5</v>
      </c>
      <c r="M22" s="770">
        <v>0</v>
      </c>
      <c r="N22" s="770">
        <f t="shared" si="2"/>
        <v>6</v>
      </c>
      <c r="O22" s="770">
        <f t="shared" si="2"/>
        <v>1</v>
      </c>
      <c r="P22" s="770">
        <f t="shared" si="2"/>
        <v>5</v>
      </c>
      <c r="Q22" s="770">
        <f t="shared" si="2"/>
        <v>3</v>
      </c>
      <c r="R22" s="770">
        <f t="shared" si="2"/>
        <v>0</v>
      </c>
      <c r="S22" s="770">
        <f t="shared" si="2"/>
        <v>0</v>
      </c>
      <c r="T22" s="770">
        <f>SUM(T4:T14)</f>
        <v>1</v>
      </c>
      <c r="U22" s="770">
        <f>SUM(U4:U15)</f>
        <v>4</v>
      </c>
      <c r="V22" s="770">
        <f>SUM(V4:V15)</f>
        <v>4</v>
      </c>
      <c r="W22" s="770">
        <f>SUM(W4:W15)</f>
        <v>4</v>
      </c>
      <c r="X22" s="770">
        <f>SUM(X4:X20)</f>
        <v>8</v>
      </c>
      <c r="Y22" s="770">
        <f>SUM(Y4:Y15)</f>
        <v>0</v>
      </c>
      <c r="Z22" s="770">
        <f>SUM(Z4:Z19)</f>
        <v>16</v>
      </c>
      <c r="AA22" s="770">
        <f>SUM(AA4:AA21)</f>
        <v>2</v>
      </c>
      <c r="AB22" s="770">
        <f>SUM(AB4:AB19)</f>
        <v>4</v>
      </c>
      <c r="AC22" s="770">
        <f>SUM(AC4:AC19)</f>
        <v>2</v>
      </c>
      <c r="AD22" s="1502">
        <f>SUM(AD4:AD19)</f>
        <v>5</v>
      </c>
      <c r="AE22" s="1506">
        <f>SUM(AE4:AE19)</f>
        <v>5</v>
      </c>
      <c r="AF22" s="1506">
        <f>SUM(AF4:AF19)</f>
        <v>20</v>
      </c>
      <c r="AG22" s="765"/>
      <c r="AH22" s="222"/>
      <c r="AI22" s="222"/>
    </row>
    <row r="23" spans="2:35" ht="39" customHeight="1" x14ac:dyDescent="0.35">
      <c r="B23" s="771"/>
      <c r="C23" s="772" t="s">
        <v>215</v>
      </c>
      <c r="D23" s="2547">
        <v>2007</v>
      </c>
      <c r="E23" s="2548"/>
      <c r="F23" s="2547">
        <v>2008</v>
      </c>
      <c r="G23" s="2548"/>
      <c r="H23" s="2547">
        <v>2009</v>
      </c>
      <c r="I23" s="2548"/>
      <c r="J23" s="2549">
        <v>2010</v>
      </c>
      <c r="K23" s="2549"/>
      <c r="L23" s="2547">
        <v>2011</v>
      </c>
      <c r="M23" s="2548"/>
      <c r="N23" s="2547">
        <v>2012</v>
      </c>
      <c r="O23" s="2548"/>
      <c r="P23" s="2547">
        <v>2013</v>
      </c>
      <c r="Q23" s="2548"/>
      <c r="R23" s="2547">
        <v>2014</v>
      </c>
      <c r="S23" s="2548"/>
      <c r="T23" s="2547">
        <v>2015</v>
      </c>
      <c r="U23" s="2548"/>
      <c r="V23" s="2547">
        <v>2016</v>
      </c>
      <c r="W23" s="2548"/>
      <c r="X23" s="2547">
        <v>2017</v>
      </c>
      <c r="Y23" s="2548"/>
      <c r="Z23" s="2547">
        <v>2018</v>
      </c>
      <c r="AA23" s="2548"/>
      <c r="AB23" s="773">
        <v>2019</v>
      </c>
      <c r="AC23" s="773">
        <v>2020</v>
      </c>
      <c r="AD23" s="1503">
        <v>2021</v>
      </c>
      <c r="AE23" s="2554">
        <v>2022</v>
      </c>
      <c r="AF23" s="2555"/>
      <c r="AG23" s="222"/>
      <c r="AH23" s="222"/>
      <c r="AI23" s="222"/>
    </row>
    <row r="24" spans="2:35" ht="39" customHeight="1" thickBot="1" x14ac:dyDescent="0.4">
      <c r="B24" s="771"/>
      <c r="C24" s="774">
        <f>C22</f>
        <v>49</v>
      </c>
      <c r="D24" s="2547">
        <f>D22+E22</f>
        <v>58</v>
      </c>
      <c r="E24" s="2548"/>
      <c r="F24" s="2547">
        <f>F22+G22</f>
        <v>46</v>
      </c>
      <c r="G24" s="2548"/>
      <c r="H24" s="2547">
        <f>H22+I22</f>
        <v>30</v>
      </c>
      <c r="I24" s="2548"/>
      <c r="J24" s="2547">
        <f>J22+K22</f>
        <v>9</v>
      </c>
      <c r="K24" s="2548"/>
      <c r="L24" s="2547">
        <f>L22+M22</f>
        <v>5</v>
      </c>
      <c r="M24" s="2548"/>
      <c r="N24" s="2547">
        <f>N22+O22</f>
        <v>7</v>
      </c>
      <c r="O24" s="2548"/>
      <c r="P24" s="2547">
        <f>P22+Q22</f>
        <v>8</v>
      </c>
      <c r="Q24" s="2548"/>
      <c r="R24" s="2547">
        <f>R22+S22</f>
        <v>0</v>
      </c>
      <c r="S24" s="2548"/>
      <c r="T24" s="2547">
        <f>T22+U22</f>
        <v>5</v>
      </c>
      <c r="U24" s="2548"/>
      <c r="V24" s="2547">
        <f>V22+W22</f>
        <v>8</v>
      </c>
      <c r="W24" s="2548"/>
      <c r="X24" s="2547">
        <f>SUM(X22:Y22)</f>
        <v>8</v>
      </c>
      <c r="Y24" s="2548"/>
      <c r="Z24" s="2547">
        <f>SUM(Z22:AA22)</f>
        <v>18</v>
      </c>
      <c r="AA24" s="2548"/>
      <c r="AB24" s="773">
        <v>4</v>
      </c>
      <c r="AC24" s="773">
        <v>2</v>
      </c>
      <c r="AD24" s="1503">
        <v>5</v>
      </c>
      <c r="AE24" s="1507">
        <v>5</v>
      </c>
      <c r="AF24" s="1510">
        <v>20</v>
      </c>
      <c r="AG24" s="765">
        <f>SUM(C24:AE24)</f>
        <v>267</v>
      </c>
      <c r="AH24" s="222"/>
      <c r="AI24" s="222"/>
    </row>
    <row r="25" spans="2:35" x14ac:dyDescent="0.2">
      <c r="AG25" s="222"/>
      <c r="AH25" s="222"/>
      <c r="AI25" s="222"/>
    </row>
    <row r="26" spans="2:35" x14ac:dyDescent="0.2">
      <c r="AG26" s="222"/>
      <c r="AH26" s="222"/>
      <c r="AI26" s="222"/>
    </row>
    <row r="27" spans="2:35" x14ac:dyDescent="0.2">
      <c r="AG27" s="222"/>
      <c r="AH27" s="222"/>
      <c r="AI27" s="222"/>
    </row>
    <row r="28" spans="2:35" x14ac:dyDescent="0.2">
      <c r="AG28" s="222"/>
      <c r="AH28" s="222"/>
      <c r="AI28" s="222"/>
    </row>
    <row r="29" spans="2:35" x14ac:dyDescent="0.2">
      <c r="AG29" s="222"/>
      <c r="AH29" s="222"/>
      <c r="AI29" s="222"/>
    </row>
    <row r="30" spans="2:35" x14ac:dyDescent="0.2">
      <c r="AG30" s="222"/>
      <c r="AH30" s="222"/>
      <c r="AI30" s="222"/>
    </row>
    <row r="31" spans="2:35" x14ac:dyDescent="0.2">
      <c r="AG31" s="222"/>
      <c r="AH31" s="222"/>
      <c r="AI31" s="222"/>
    </row>
    <row r="32" spans="2:35" x14ac:dyDescent="0.2">
      <c r="AG32" s="222"/>
      <c r="AH32" s="222"/>
      <c r="AI32" s="222"/>
    </row>
    <row r="33" spans="33:35" x14ac:dyDescent="0.2">
      <c r="AG33" s="222"/>
      <c r="AH33" s="222"/>
      <c r="AI33" s="222"/>
    </row>
    <row r="34" spans="33:35" x14ac:dyDescent="0.2">
      <c r="AG34" s="222"/>
      <c r="AH34" s="222"/>
      <c r="AI34" s="222"/>
    </row>
    <row r="35" spans="33:35" x14ac:dyDescent="0.2">
      <c r="AG35" s="222"/>
      <c r="AH35" s="222"/>
      <c r="AI35" s="222"/>
    </row>
    <row r="36" spans="33:35" x14ac:dyDescent="0.2">
      <c r="AG36" s="222"/>
      <c r="AH36" s="222"/>
      <c r="AI36" s="222"/>
    </row>
    <row r="37" spans="33:35" x14ac:dyDescent="0.2">
      <c r="AG37" s="222"/>
      <c r="AH37" s="222"/>
      <c r="AI37" s="222"/>
    </row>
    <row r="38" spans="33:35" x14ac:dyDescent="0.2">
      <c r="AG38" s="222"/>
      <c r="AH38" s="222"/>
      <c r="AI38" s="222"/>
    </row>
    <row r="39" spans="33:35" x14ac:dyDescent="0.2">
      <c r="AG39" s="222"/>
      <c r="AH39" s="222"/>
      <c r="AI39" s="222"/>
    </row>
    <row r="40" spans="33:35" x14ac:dyDescent="0.2">
      <c r="AG40" s="222"/>
      <c r="AH40" s="222"/>
      <c r="AI40" s="222"/>
    </row>
    <row r="56" spans="2:6" hidden="1" x14ac:dyDescent="0.2"/>
    <row r="57" spans="2:6" hidden="1" x14ac:dyDescent="0.2">
      <c r="B57" s="776"/>
      <c r="C57" s="2541" t="s">
        <v>440</v>
      </c>
      <c r="D57" s="2542"/>
      <c r="E57" s="2543" t="s">
        <v>441</v>
      </c>
      <c r="F57" s="2544"/>
    </row>
    <row r="58" spans="2:6" ht="15.75" hidden="1" x14ac:dyDescent="0.25">
      <c r="B58" s="2529" t="s">
        <v>79</v>
      </c>
      <c r="C58" s="2545" t="s">
        <v>445</v>
      </c>
      <c r="D58" s="2545"/>
      <c r="E58" s="2545" t="s">
        <v>446</v>
      </c>
      <c r="F58" s="2546"/>
    </row>
    <row r="59" spans="2:6" hidden="1" x14ac:dyDescent="0.2">
      <c r="B59" s="2530"/>
      <c r="C59" s="289" t="s">
        <v>203</v>
      </c>
      <c r="D59" s="289" t="s">
        <v>444</v>
      </c>
      <c r="E59" s="289" t="s">
        <v>203</v>
      </c>
      <c r="F59" s="289" t="s">
        <v>444</v>
      </c>
    </row>
    <row r="60" spans="2:6" ht="20.25" hidden="1" x14ac:dyDescent="0.2">
      <c r="B60" s="176" t="s">
        <v>105</v>
      </c>
      <c r="C60" s="445">
        <v>0</v>
      </c>
      <c r="D60" s="445">
        <v>1</v>
      </c>
      <c r="E60" s="692">
        <v>0</v>
      </c>
      <c r="F60" s="174">
        <v>0</v>
      </c>
    </row>
    <row r="61" spans="2:6" ht="20.25" hidden="1" x14ac:dyDescent="0.2">
      <c r="B61" s="176" t="s">
        <v>262</v>
      </c>
      <c r="C61" s="692">
        <v>0</v>
      </c>
      <c r="D61" s="692">
        <v>1</v>
      </c>
      <c r="E61" s="692">
        <v>3</v>
      </c>
      <c r="F61" s="174">
        <v>0</v>
      </c>
    </row>
    <row r="62" spans="2:6" ht="25.5" hidden="1" x14ac:dyDescent="0.2">
      <c r="B62" s="176" t="s">
        <v>259</v>
      </c>
      <c r="C62" s="692">
        <v>0</v>
      </c>
      <c r="D62" s="692">
        <v>1</v>
      </c>
      <c r="E62" s="692">
        <v>0</v>
      </c>
      <c r="F62" s="174">
        <v>0</v>
      </c>
    </row>
    <row r="63" spans="2:6" ht="20.25" hidden="1" x14ac:dyDescent="0.2">
      <c r="B63" s="176" t="s">
        <v>442</v>
      </c>
      <c r="C63" s="692">
        <v>0</v>
      </c>
      <c r="D63" s="692">
        <v>0</v>
      </c>
      <c r="E63" s="692">
        <v>0</v>
      </c>
      <c r="F63" s="174">
        <v>1</v>
      </c>
    </row>
    <row r="64" spans="2:6" ht="20.25" hidden="1" x14ac:dyDescent="0.2">
      <c r="B64" s="176" t="s">
        <v>109</v>
      </c>
      <c r="C64" s="445">
        <v>0</v>
      </c>
      <c r="D64" s="445">
        <v>4</v>
      </c>
      <c r="E64" s="692">
        <v>1</v>
      </c>
      <c r="F64" s="174">
        <v>1</v>
      </c>
    </row>
    <row r="65" spans="2:11" ht="20.25" hidden="1" x14ac:dyDescent="0.2">
      <c r="B65" s="176" t="s">
        <v>212</v>
      </c>
      <c r="C65" s="692">
        <v>0</v>
      </c>
      <c r="D65" s="692">
        <v>0</v>
      </c>
      <c r="E65" s="692">
        <v>0</v>
      </c>
      <c r="F65" s="174">
        <v>0</v>
      </c>
    </row>
    <row r="66" spans="2:11" ht="25.5" hidden="1" x14ac:dyDescent="0.2">
      <c r="B66" s="176" t="s">
        <v>104</v>
      </c>
      <c r="C66" s="692">
        <v>0</v>
      </c>
      <c r="D66" s="692">
        <v>0</v>
      </c>
      <c r="E66" s="692">
        <v>0</v>
      </c>
      <c r="F66" s="174">
        <v>0</v>
      </c>
    </row>
    <row r="67" spans="2:11" ht="25.5" hidden="1" x14ac:dyDescent="0.2">
      <c r="B67" s="176" t="s">
        <v>263</v>
      </c>
      <c r="C67" s="692">
        <v>0</v>
      </c>
      <c r="D67" s="692">
        <v>0</v>
      </c>
      <c r="E67" s="692">
        <v>0</v>
      </c>
      <c r="F67" s="174">
        <v>1</v>
      </c>
    </row>
    <row r="68" spans="2:11" ht="20.25" hidden="1" x14ac:dyDescent="0.2">
      <c r="B68" s="176" t="s">
        <v>261</v>
      </c>
      <c r="C68" s="692">
        <v>0</v>
      </c>
      <c r="D68" s="692">
        <v>0</v>
      </c>
      <c r="E68" s="692">
        <v>0</v>
      </c>
      <c r="F68" s="174">
        <v>0</v>
      </c>
    </row>
    <row r="69" spans="2:11" ht="20.25" hidden="1" x14ac:dyDescent="0.2">
      <c r="B69" s="176" t="s">
        <v>443</v>
      </c>
      <c r="C69" s="692">
        <v>0</v>
      </c>
      <c r="D69" s="692">
        <v>2</v>
      </c>
      <c r="E69" s="692">
        <v>0</v>
      </c>
      <c r="F69" s="174">
        <v>0</v>
      </c>
    </row>
    <row r="70" spans="2:11" ht="25.5" hidden="1" x14ac:dyDescent="0.2">
      <c r="B70" s="176" t="s">
        <v>260</v>
      </c>
      <c r="C70" s="692">
        <v>1</v>
      </c>
      <c r="D70" s="445">
        <v>3</v>
      </c>
      <c r="E70" s="445">
        <v>0</v>
      </c>
      <c r="F70" s="175">
        <v>0</v>
      </c>
    </row>
    <row r="71" spans="2:11" ht="20.25" hidden="1" x14ac:dyDescent="0.2">
      <c r="B71" s="176" t="s">
        <v>412</v>
      </c>
      <c r="C71" s="692">
        <v>3</v>
      </c>
      <c r="D71" s="445">
        <v>6</v>
      </c>
      <c r="E71" s="445">
        <v>0</v>
      </c>
      <c r="F71" s="174">
        <v>3</v>
      </c>
    </row>
    <row r="72" spans="2:11" ht="21" hidden="1" thickBot="1" x14ac:dyDescent="0.35">
      <c r="B72" s="177" t="s">
        <v>117</v>
      </c>
      <c r="C72" s="178">
        <f>SUM(C60:C71)</f>
        <v>4</v>
      </c>
      <c r="D72" s="178">
        <f>SUM(D60:D71)</f>
        <v>18</v>
      </c>
      <c r="E72" s="178">
        <f>SUM(E60:E71)</f>
        <v>4</v>
      </c>
      <c r="F72" s="777">
        <f>SUM(F60:F71)</f>
        <v>6</v>
      </c>
    </row>
    <row r="75" spans="2:11" ht="13.5" customHeight="1" x14ac:dyDescent="0.2">
      <c r="B75" s="222"/>
      <c r="C75" s="222"/>
      <c r="D75" s="222"/>
      <c r="E75" s="222"/>
      <c r="F75" s="222"/>
      <c r="G75" s="222"/>
      <c r="H75" s="222"/>
      <c r="I75" s="222"/>
      <c r="J75" s="222"/>
      <c r="K75" s="222"/>
    </row>
  </sheetData>
  <mergeCells count="32">
    <mergeCell ref="AE3:AF3"/>
    <mergeCell ref="AE23:AF23"/>
    <mergeCell ref="Z23:AA23"/>
    <mergeCell ref="Z24:AA24"/>
    <mergeCell ref="V23:W23"/>
    <mergeCell ref="V24:W24"/>
    <mergeCell ref="X23:Y23"/>
    <mergeCell ref="X24:Y24"/>
    <mergeCell ref="B2:B3"/>
    <mergeCell ref="D24:E24"/>
    <mergeCell ref="F24:G24"/>
    <mergeCell ref="H24:I24"/>
    <mergeCell ref="N24:O24"/>
    <mergeCell ref="P24:Q24"/>
    <mergeCell ref="T24:U24"/>
    <mergeCell ref="D23:E23"/>
    <mergeCell ref="F23:G23"/>
    <mergeCell ref="H23:I23"/>
    <mergeCell ref="N23:O23"/>
    <mergeCell ref="P23:Q23"/>
    <mergeCell ref="T23:U23"/>
    <mergeCell ref="J23:K23"/>
    <mergeCell ref="L23:M23"/>
    <mergeCell ref="J24:K24"/>
    <mergeCell ref="L24:M24"/>
    <mergeCell ref="R23:S23"/>
    <mergeCell ref="R24:S24"/>
    <mergeCell ref="C57:D57"/>
    <mergeCell ref="E57:F57"/>
    <mergeCell ref="B58:B59"/>
    <mergeCell ref="C58:D58"/>
    <mergeCell ref="E58:F58"/>
  </mergeCells>
  <pageMargins left="0.19685039370078741" right="0.15748031496062992" top="0.43307086614173229" bottom="0.31496062992125984" header="0" footer="0"/>
  <pageSetup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Y30"/>
  <sheetViews>
    <sheetView topLeftCell="A13" zoomScale="60" zoomScaleNormal="60" workbookViewId="0">
      <selection activeCell="E21" sqref="E21"/>
    </sheetView>
  </sheetViews>
  <sheetFormatPr baseColWidth="10" defaultColWidth="11.42578125" defaultRowHeight="15" x14ac:dyDescent="0.25"/>
  <cols>
    <col min="1" max="1" width="2.140625" style="204" customWidth="1"/>
    <col min="2" max="2" width="2.42578125" style="204" customWidth="1"/>
    <col min="3" max="3" width="24.85546875" style="204" customWidth="1"/>
    <col min="4" max="4" width="12.140625" style="204" customWidth="1"/>
    <col min="5" max="5" width="11.28515625" style="204" customWidth="1"/>
    <col min="6" max="7" width="12.140625" style="204" customWidth="1"/>
    <col min="8" max="8" width="12" style="204" customWidth="1"/>
    <col min="9" max="9" width="11.85546875" style="204" customWidth="1"/>
    <col min="10" max="10" width="13.85546875" style="204" customWidth="1"/>
    <col min="11" max="11" width="16.140625" style="204" customWidth="1"/>
    <col min="12" max="12" width="14.5703125" style="204" customWidth="1"/>
    <col min="13" max="13" width="14.7109375" style="204" customWidth="1"/>
    <col min="14" max="14" width="14" style="204" customWidth="1"/>
    <col min="15" max="15" width="13.42578125" style="204" customWidth="1"/>
    <col min="16" max="16" width="14.7109375" style="204" customWidth="1"/>
    <col min="17" max="17" width="13.85546875" style="204" customWidth="1"/>
    <col min="18" max="18" width="13" style="204" customWidth="1"/>
    <col min="19" max="19" width="15.140625" style="204" customWidth="1"/>
    <col min="20" max="20" width="13" style="204" customWidth="1"/>
    <col min="21" max="21" width="11.42578125" style="204"/>
    <col min="22" max="22" width="14.7109375" style="204" customWidth="1"/>
    <col min="23" max="16384" width="11.42578125" style="204"/>
  </cols>
  <sheetData>
    <row r="2" spans="3:25" ht="9.75" customHeight="1" x14ac:dyDescent="0.25"/>
    <row r="3" spans="3:25" ht="27.75" customHeight="1" thickBot="1" x14ac:dyDescent="0.3">
      <c r="C3" s="2564" t="s">
        <v>481</v>
      </c>
      <c r="D3" s="2565"/>
      <c r="E3" s="2565"/>
      <c r="F3" s="2565"/>
      <c r="G3" s="2565"/>
      <c r="H3" s="2565"/>
      <c r="I3" s="2565"/>
      <c r="J3" s="2565"/>
      <c r="K3" s="2565"/>
      <c r="L3" s="2565"/>
      <c r="M3" s="2565"/>
      <c r="N3" s="2565"/>
      <c r="O3" s="2565"/>
      <c r="P3" s="2565"/>
      <c r="Q3" s="2565"/>
      <c r="R3" s="2565"/>
      <c r="S3" s="2565"/>
      <c r="T3" s="2565"/>
      <c r="U3" s="2565"/>
    </row>
    <row r="4" spans="3:25" ht="19.5" customHeight="1" thickBot="1" x14ac:dyDescent="0.3">
      <c r="C4" s="2559" t="s">
        <v>482</v>
      </c>
      <c r="D4" s="2562" t="s">
        <v>483</v>
      </c>
      <c r="E4" s="2563"/>
      <c r="F4" s="2563"/>
      <c r="G4" s="2563"/>
      <c r="H4" s="2563"/>
      <c r="I4" s="2563"/>
      <c r="J4" s="2562" t="s">
        <v>484</v>
      </c>
      <c r="K4" s="2563"/>
      <c r="L4" s="2563"/>
      <c r="M4" s="2563"/>
      <c r="N4" s="2563"/>
      <c r="O4" s="2563"/>
      <c r="P4" s="2563"/>
      <c r="Q4" s="2563"/>
      <c r="R4" s="2563"/>
      <c r="S4" s="2563"/>
      <c r="T4" s="2563"/>
      <c r="U4" s="2563"/>
      <c r="V4" s="2563"/>
      <c r="W4" s="2563"/>
      <c r="X4" s="2563"/>
      <c r="Y4" s="2566"/>
    </row>
    <row r="5" spans="3:25" ht="48.75" customHeight="1" thickBot="1" x14ac:dyDescent="0.3">
      <c r="C5" s="2560"/>
      <c r="D5" s="375" t="s">
        <v>485</v>
      </c>
      <c r="E5" s="375" t="s">
        <v>486</v>
      </c>
      <c r="F5" s="375" t="s">
        <v>487</v>
      </c>
      <c r="G5" s="375" t="s">
        <v>488</v>
      </c>
      <c r="H5" s="375" t="s">
        <v>489</v>
      </c>
      <c r="I5" s="375" t="s">
        <v>490</v>
      </c>
      <c r="J5" s="375" t="s">
        <v>491</v>
      </c>
      <c r="K5" s="375" t="s">
        <v>492</v>
      </c>
      <c r="L5" s="375" t="s">
        <v>487</v>
      </c>
      <c r="M5" s="375" t="s">
        <v>491</v>
      </c>
      <c r="N5" s="375" t="s">
        <v>492</v>
      </c>
      <c r="O5" s="375" t="s">
        <v>487</v>
      </c>
      <c r="P5" s="375" t="s">
        <v>491</v>
      </c>
      <c r="Q5" s="375" t="s">
        <v>492</v>
      </c>
      <c r="R5" s="375" t="s">
        <v>487</v>
      </c>
      <c r="S5" s="375" t="s">
        <v>491</v>
      </c>
      <c r="T5" s="375" t="s">
        <v>492</v>
      </c>
      <c r="U5" s="375" t="s">
        <v>487</v>
      </c>
      <c r="V5" s="375" t="s">
        <v>781</v>
      </c>
      <c r="W5" s="375" t="s">
        <v>492</v>
      </c>
      <c r="X5" s="375" t="s">
        <v>487</v>
      </c>
      <c r="Y5" s="1530" t="s">
        <v>781</v>
      </c>
    </row>
    <row r="6" spans="3:25" ht="38.25" customHeight="1" thickBot="1" x14ac:dyDescent="0.3">
      <c r="C6" s="2560"/>
      <c r="D6" s="371">
        <v>39234</v>
      </c>
      <c r="E6" s="371">
        <v>39479</v>
      </c>
      <c r="F6" s="371">
        <v>39630</v>
      </c>
      <c r="G6" s="371">
        <v>39753</v>
      </c>
      <c r="H6" s="371">
        <v>39965</v>
      </c>
      <c r="I6" s="371">
        <v>40179</v>
      </c>
      <c r="J6" s="371">
        <v>40330</v>
      </c>
      <c r="K6" s="371">
        <v>40513</v>
      </c>
      <c r="L6" s="371">
        <v>40664</v>
      </c>
      <c r="M6" s="371">
        <v>40878</v>
      </c>
      <c r="N6" s="371">
        <v>41061</v>
      </c>
      <c r="O6" s="371">
        <v>41122</v>
      </c>
      <c r="P6" s="371">
        <v>41426</v>
      </c>
      <c r="Q6" s="371">
        <v>41791</v>
      </c>
      <c r="R6" s="371">
        <v>42156</v>
      </c>
      <c r="S6" s="371">
        <v>42522</v>
      </c>
      <c r="T6" s="371">
        <v>42917</v>
      </c>
      <c r="U6" s="371">
        <v>43313</v>
      </c>
      <c r="V6" s="371" t="s">
        <v>639</v>
      </c>
      <c r="W6" s="371" t="s">
        <v>780</v>
      </c>
      <c r="X6" s="371" t="s">
        <v>840</v>
      </c>
      <c r="Y6" s="1531" t="s">
        <v>1310</v>
      </c>
    </row>
    <row r="7" spans="3:25" ht="55.5" customHeight="1" thickBot="1" x14ac:dyDescent="0.3">
      <c r="C7" s="2561"/>
      <c r="D7" s="372" t="s">
        <v>112</v>
      </c>
      <c r="E7" s="372" t="s">
        <v>113</v>
      </c>
      <c r="F7" s="372" t="s">
        <v>114</v>
      </c>
      <c r="G7" s="372" t="s">
        <v>216</v>
      </c>
      <c r="H7" s="372" t="s">
        <v>217</v>
      </c>
      <c r="I7" s="372" t="s">
        <v>113</v>
      </c>
      <c r="J7" s="372" t="s">
        <v>113</v>
      </c>
      <c r="K7" s="372" t="s">
        <v>218</v>
      </c>
      <c r="L7" s="372" t="s">
        <v>216</v>
      </c>
      <c r="M7" s="372" t="s">
        <v>113</v>
      </c>
      <c r="N7" s="372" t="s">
        <v>219</v>
      </c>
      <c r="O7" s="372" t="s">
        <v>220</v>
      </c>
      <c r="P7" s="372" t="s">
        <v>419</v>
      </c>
      <c r="Q7" s="372" t="s">
        <v>493</v>
      </c>
      <c r="R7" s="372" t="s">
        <v>494</v>
      </c>
      <c r="S7" s="372" t="s">
        <v>495</v>
      </c>
      <c r="T7" s="372" t="s">
        <v>496</v>
      </c>
      <c r="U7" s="372" t="s">
        <v>638</v>
      </c>
      <c r="V7" s="372" t="s">
        <v>640</v>
      </c>
      <c r="W7" s="372" t="s">
        <v>779</v>
      </c>
      <c r="X7" s="372" t="s">
        <v>841</v>
      </c>
      <c r="Y7" s="1532" t="s">
        <v>112</v>
      </c>
    </row>
    <row r="8" spans="3:25" ht="39" customHeight="1" thickBot="1" x14ac:dyDescent="0.3">
      <c r="C8" s="1533" t="s">
        <v>497</v>
      </c>
      <c r="D8" s="419">
        <v>0</v>
      </c>
      <c r="E8" s="419">
        <v>0</v>
      </c>
      <c r="F8" s="419">
        <v>0</v>
      </c>
      <c r="G8" s="419">
        <v>0</v>
      </c>
      <c r="H8" s="419">
        <v>0</v>
      </c>
      <c r="I8" s="419">
        <v>0</v>
      </c>
      <c r="J8" s="419">
        <v>1</v>
      </c>
      <c r="K8" s="419">
        <v>0</v>
      </c>
      <c r="L8" s="419">
        <v>0</v>
      </c>
      <c r="M8" s="419">
        <v>0</v>
      </c>
      <c r="N8" s="419">
        <v>0</v>
      </c>
      <c r="O8" s="419">
        <v>0</v>
      </c>
      <c r="P8" s="419">
        <v>0</v>
      </c>
      <c r="Q8" s="419">
        <v>0</v>
      </c>
      <c r="R8" s="419">
        <v>0</v>
      </c>
      <c r="S8" s="419">
        <v>0</v>
      </c>
      <c r="T8" s="419">
        <v>0</v>
      </c>
      <c r="U8" s="419">
        <v>0</v>
      </c>
      <c r="V8" s="419">
        <v>0</v>
      </c>
      <c r="W8" s="419">
        <v>0</v>
      </c>
      <c r="X8" s="419">
        <v>0</v>
      </c>
      <c r="Y8" s="1534"/>
    </row>
    <row r="9" spans="3:25" ht="36.75" customHeight="1" thickBot="1" x14ac:dyDescent="0.3">
      <c r="C9" s="1533" t="s">
        <v>498</v>
      </c>
      <c r="D9" s="419">
        <v>3</v>
      </c>
      <c r="E9" s="419">
        <v>0</v>
      </c>
      <c r="F9" s="419">
        <v>1</v>
      </c>
      <c r="G9" s="419">
        <v>1</v>
      </c>
      <c r="H9" s="419">
        <v>3</v>
      </c>
      <c r="I9" s="419">
        <v>1</v>
      </c>
      <c r="J9" s="419">
        <v>2</v>
      </c>
      <c r="K9" s="419">
        <v>2</v>
      </c>
      <c r="L9" s="419">
        <v>2</v>
      </c>
      <c r="M9" s="419">
        <v>3</v>
      </c>
      <c r="N9" s="419">
        <v>4</v>
      </c>
      <c r="O9" s="419">
        <v>0</v>
      </c>
      <c r="P9" s="419">
        <v>0</v>
      </c>
      <c r="Q9" s="419">
        <v>0</v>
      </c>
      <c r="R9" s="419">
        <v>0</v>
      </c>
      <c r="S9" s="419">
        <v>0</v>
      </c>
      <c r="T9" s="419">
        <v>2</v>
      </c>
      <c r="U9" s="419">
        <v>1</v>
      </c>
      <c r="V9" s="419">
        <v>0</v>
      </c>
      <c r="W9" s="419">
        <v>0</v>
      </c>
      <c r="X9" s="419">
        <v>0</v>
      </c>
      <c r="Y9" s="1534">
        <v>0</v>
      </c>
    </row>
    <row r="10" spans="3:25" ht="21.75" thickBot="1" x14ac:dyDescent="0.3">
      <c r="C10" s="1533" t="s">
        <v>473</v>
      </c>
      <c r="D10" s="419" t="s">
        <v>106</v>
      </c>
      <c r="E10" s="419" t="s">
        <v>106</v>
      </c>
      <c r="F10" s="419" t="s">
        <v>106</v>
      </c>
      <c r="G10" s="419" t="s">
        <v>106</v>
      </c>
      <c r="H10" s="419" t="s">
        <v>106</v>
      </c>
      <c r="I10" s="419" t="s">
        <v>106</v>
      </c>
      <c r="J10" s="419" t="s">
        <v>106</v>
      </c>
      <c r="K10" s="419" t="s">
        <v>106</v>
      </c>
      <c r="L10" s="419" t="s">
        <v>106</v>
      </c>
      <c r="M10" s="419" t="s">
        <v>106</v>
      </c>
      <c r="N10" s="419" t="s">
        <v>106</v>
      </c>
      <c r="O10" s="419" t="s">
        <v>106</v>
      </c>
      <c r="P10" s="419" t="s">
        <v>106</v>
      </c>
      <c r="Q10" s="419" t="s">
        <v>106</v>
      </c>
      <c r="R10" s="419" t="s">
        <v>106</v>
      </c>
      <c r="S10" s="419">
        <v>0</v>
      </c>
      <c r="T10" s="419">
        <v>1</v>
      </c>
      <c r="U10" s="420"/>
      <c r="V10" s="419">
        <v>0</v>
      </c>
      <c r="W10" s="419">
        <v>0</v>
      </c>
      <c r="X10" s="419">
        <v>0</v>
      </c>
      <c r="Y10" s="1534">
        <v>1</v>
      </c>
    </row>
    <row r="11" spans="3:25" ht="24.75" customHeight="1" thickBot="1" x14ac:dyDescent="0.3">
      <c r="C11" s="1533" t="s">
        <v>499</v>
      </c>
      <c r="D11" s="419" t="s">
        <v>106</v>
      </c>
      <c r="E11" s="419" t="s">
        <v>106</v>
      </c>
      <c r="F11" s="419" t="s">
        <v>106</v>
      </c>
      <c r="G11" s="419" t="s">
        <v>106</v>
      </c>
      <c r="H11" s="419" t="s">
        <v>106</v>
      </c>
      <c r="I11" s="419" t="s">
        <v>106</v>
      </c>
      <c r="J11" s="419" t="s">
        <v>106</v>
      </c>
      <c r="K11" s="419" t="s">
        <v>106</v>
      </c>
      <c r="L11" s="419" t="s">
        <v>106</v>
      </c>
      <c r="M11" s="419" t="s">
        <v>106</v>
      </c>
      <c r="N11" s="419" t="s">
        <v>106</v>
      </c>
      <c r="O11" s="419" t="s">
        <v>106</v>
      </c>
      <c r="P11" s="419" t="s">
        <v>106</v>
      </c>
      <c r="Q11" s="419" t="s">
        <v>106</v>
      </c>
      <c r="R11" s="419" t="s">
        <v>106</v>
      </c>
      <c r="S11" s="419">
        <v>0</v>
      </c>
      <c r="T11" s="419">
        <v>1</v>
      </c>
      <c r="U11" s="419">
        <v>1</v>
      </c>
      <c r="V11" s="419">
        <v>0</v>
      </c>
      <c r="W11" s="419">
        <v>1</v>
      </c>
      <c r="X11" s="419">
        <v>0</v>
      </c>
      <c r="Y11" s="1534">
        <v>0</v>
      </c>
    </row>
    <row r="12" spans="3:25" ht="21.75" thickBot="1" x14ac:dyDescent="0.3">
      <c r="C12" s="1533" t="s">
        <v>190</v>
      </c>
      <c r="D12" s="419">
        <v>1</v>
      </c>
      <c r="E12" s="419">
        <v>0</v>
      </c>
      <c r="F12" s="419">
        <v>1</v>
      </c>
      <c r="G12" s="419">
        <v>0</v>
      </c>
      <c r="H12" s="419">
        <v>0</v>
      </c>
      <c r="I12" s="419">
        <v>0</v>
      </c>
      <c r="J12" s="419">
        <v>1</v>
      </c>
      <c r="K12" s="419">
        <v>0</v>
      </c>
      <c r="L12" s="419">
        <v>0</v>
      </c>
      <c r="M12" s="419">
        <v>0</v>
      </c>
      <c r="N12" s="419">
        <v>0</v>
      </c>
      <c r="O12" s="419">
        <v>0</v>
      </c>
      <c r="P12" s="419">
        <v>0</v>
      </c>
      <c r="Q12" s="419">
        <v>0</v>
      </c>
      <c r="R12" s="419">
        <v>0</v>
      </c>
      <c r="S12" s="419">
        <v>0</v>
      </c>
      <c r="T12" s="419">
        <v>1</v>
      </c>
      <c r="U12" s="420"/>
      <c r="V12" s="419">
        <v>0</v>
      </c>
      <c r="W12" s="419">
        <v>0</v>
      </c>
      <c r="X12" s="419">
        <v>0</v>
      </c>
      <c r="Y12" s="1534">
        <v>0</v>
      </c>
    </row>
    <row r="13" spans="3:25" ht="32.25" customHeight="1" thickBot="1" x14ac:dyDescent="0.3">
      <c r="C13" s="1533" t="s">
        <v>641</v>
      </c>
      <c r="D13" s="419" t="s">
        <v>106</v>
      </c>
      <c r="E13" s="419" t="s">
        <v>106</v>
      </c>
      <c r="F13" s="419" t="s">
        <v>106</v>
      </c>
      <c r="G13" s="419" t="s">
        <v>106</v>
      </c>
      <c r="H13" s="419" t="s">
        <v>106</v>
      </c>
      <c r="I13" s="419" t="s">
        <v>106</v>
      </c>
      <c r="J13" s="419" t="s">
        <v>106</v>
      </c>
      <c r="K13" s="419" t="s">
        <v>106</v>
      </c>
      <c r="L13" s="419" t="s">
        <v>106</v>
      </c>
      <c r="M13" s="419" t="s">
        <v>106</v>
      </c>
      <c r="N13" s="419" t="s">
        <v>106</v>
      </c>
      <c r="O13" s="419" t="s">
        <v>106</v>
      </c>
      <c r="P13" s="419" t="s">
        <v>106</v>
      </c>
      <c r="Q13" s="419" t="s">
        <v>106</v>
      </c>
      <c r="R13" s="419" t="s">
        <v>106</v>
      </c>
      <c r="S13" s="419">
        <v>0</v>
      </c>
      <c r="T13" s="419">
        <v>0</v>
      </c>
      <c r="U13" s="419">
        <v>1</v>
      </c>
      <c r="V13" s="374">
        <v>1</v>
      </c>
      <c r="W13" s="419">
        <v>1</v>
      </c>
      <c r="X13" s="419">
        <v>0</v>
      </c>
      <c r="Y13" s="1535"/>
    </row>
    <row r="14" spans="3:25" ht="36.75" customHeight="1" thickBot="1" x14ac:dyDescent="0.3">
      <c r="C14" s="1533" t="s">
        <v>191</v>
      </c>
      <c r="D14" s="419">
        <v>0</v>
      </c>
      <c r="E14" s="419">
        <v>0</v>
      </c>
      <c r="F14" s="419">
        <v>0</v>
      </c>
      <c r="G14" s="419">
        <v>0</v>
      </c>
      <c r="H14" s="419">
        <v>0</v>
      </c>
      <c r="I14" s="419">
        <v>1</v>
      </c>
      <c r="J14" s="419">
        <v>0</v>
      </c>
      <c r="K14" s="419">
        <v>1</v>
      </c>
      <c r="L14" s="419">
        <v>0</v>
      </c>
      <c r="M14" s="419">
        <v>0</v>
      </c>
      <c r="N14" s="419">
        <v>0</v>
      </c>
      <c r="O14" s="419">
        <v>0</v>
      </c>
      <c r="P14" s="419">
        <v>0</v>
      </c>
      <c r="Q14" s="419">
        <v>0</v>
      </c>
      <c r="R14" s="419">
        <v>0</v>
      </c>
      <c r="S14" s="419">
        <v>0</v>
      </c>
      <c r="T14" s="419">
        <v>0</v>
      </c>
      <c r="U14" s="419">
        <v>1</v>
      </c>
      <c r="V14" s="419">
        <v>0</v>
      </c>
      <c r="W14" s="419">
        <v>2</v>
      </c>
      <c r="X14" s="419">
        <v>0</v>
      </c>
      <c r="Y14" s="1534">
        <v>0</v>
      </c>
    </row>
    <row r="15" spans="3:25" ht="51" customHeight="1" thickBot="1" x14ac:dyDescent="0.3">
      <c r="C15" s="1533" t="s">
        <v>197</v>
      </c>
      <c r="D15" s="419">
        <v>0</v>
      </c>
      <c r="E15" s="419">
        <v>0</v>
      </c>
      <c r="F15" s="419">
        <v>2</v>
      </c>
      <c r="G15" s="419">
        <v>0</v>
      </c>
      <c r="H15" s="419">
        <v>0</v>
      </c>
      <c r="I15" s="419">
        <v>0</v>
      </c>
      <c r="J15" s="419">
        <v>0</v>
      </c>
      <c r="K15" s="419">
        <v>0</v>
      </c>
      <c r="L15" s="419">
        <v>0</v>
      </c>
      <c r="M15" s="419">
        <v>0</v>
      </c>
      <c r="N15" s="419">
        <v>0</v>
      </c>
      <c r="O15" s="419">
        <v>0</v>
      </c>
      <c r="P15" s="419">
        <v>0</v>
      </c>
      <c r="Q15" s="419">
        <v>0</v>
      </c>
      <c r="R15" s="419">
        <v>0</v>
      </c>
      <c r="S15" s="419">
        <v>0</v>
      </c>
      <c r="T15" s="419">
        <v>0</v>
      </c>
      <c r="U15" s="419">
        <v>0</v>
      </c>
      <c r="V15" s="419">
        <v>0</v>
      </c>
      <c r="W15" s="419">
        <v>0</v>
      </c>
      <c r="X15" s="419">
        <v>0</v>
      </c>
      <c r="Y15" s="1534"/>
    </row>
    <row r="16" spans="3:25" ht="47.25" customHeight="1" thickBot="1" x14ac:dyDescent="0.3">
      <c r="C16" s="1533" t="s">
        <v>198</v>
      </c>
      <c r="D16" s="419">
        <v>2</v>
      </c>
      <c r="E16" s="419">
        <v>0</v>
      </c>
      <c r="F16" s="419">
        <v>0</v>
      </c>
      <c r="G16" s="419">
        <v>0</v>
      </c>
      <c r="H16" s="419">
        <v>0</v>
      </c>
      <c r="I16" s="419">
        <v>0</v>
      </c>
      <c r="J16" s="419">
        <v>0</v>
      </c>
      <c r="K16" s="419">
        <v>0</v>
      </c>
      <c r="L16" s="419">
        <v>0</v>
      </c>
      <c r="M16" s="419">
        <v>0</v>
      </c>
      <c r="N16" s="419">
        <v>0</v>
      </c>
      <c r="O16" s="419">
        <v>0</v>
      </c>
      <c r="P16" s="419">
        <v>0</v>
      </c>
      <c r="Q16" s="419">
        <v>0</v>
      </c>
      <c r="R16" s="419">
        <v>0</v>
      </c>
      <c r="S16" s="419">
        <v>0</v>
      </c>
      <c r="T16" s="419">
        <v>1</v>
      </c>
      <c r="U16" s="419">
        <v>0</v>
      </c>
      <c r="V16" s="419">
        <v>0</v>
      </c>
      <c r="W16" s="419">
        <v>0</v>
      </c>
      <c r="X16" s="419">
        <v>0</v>
      </c>
      <c r="Y16" s="1534"/>
    </row>
    <row r="17" spans="3:25" ht="36.75" customHeight="1" thickBot="1" x14ac:dyDescent="0.3">
      <c r="C17" s="1533" t="s">
        <v>192</v>
      </c>
      <c r="D17" s="419">
        <v>0</v>
      </c>
      <c r="E17" s="419">
        <v>1</v>
      </c>
      <c r="F17" s="419">
        <v>0</v>
      </c>
      <c r="G17" s="419">
        <v>0</v>
      </c>
      <c r="H17" s="419">
        <v>0</v>
      </c>
      <c r="I17" s="419">
        <v>0</v>
      </c>
      <c r="J17" s="419">
        <v>0</v>
      </c>
      <c r="K17" s="419">
        <v>0</v>
      </c>
      <c r="L17" s="419">
        <v>0</v>
      </c>
      <c r="M17" s="419">
        <v>0</v>
      </c>
      <c r="N17" s="419">
        <v>0</v>
      </c>
      <c r="O17" s="419">
        <v>0</v>
      </c>
      <c r="P17" s="419">
        <v>0</v>
      </c>
      <c r="Q17" s="419">
        <v>1</v>
      </c>
      <c r="R17" s="419">
        <v>0</v>
      </c>
      <c r="S17" s="419">
        <v>0</v>
      </c>
      <c r="T17" s="419">
        <v>0</v>
      </c>
      <c r="U17" s="419">
        <v>0</v>
      </c>
      <c r="V17" s="374">
        <v>1</v>
      </c>
      <c r="W17" s="419">
        <v>0</v>
      </c>
      <c r="X17" s="419">
        <v>0</v>
      </c>
      <c r="Y17" s="1535">
        <v>0</v>
      </c>
    </row>
    <row r="18" spans="3:25" ht="44.25" customHeight="1" thickBot="1" x14ac:dyDescent="0.3">
      <c r="C18" s="1533" t="s">
        <v>200</v>
      </c>
      <c r="D18" s="419">
        <v>0</v>
      </c>
      <c r="E18" s="419">
        <v>0</v>
      </c>
      <c r="F18" s="419">
        <v>0</v>
      </c>
      <c r="G18" s="419">
        <v>0</v>
      </c>
      <c r="H18" s="419">
        <v>0</v>
      </c>
      <c r="I18" s="419">
        <v>0</v>
      </c>
      <c r="J18" s="419">
        <v>0</v>
      </c>
      <c r="K18" s="419">
        <v>1</v>
      </c>
      <c r="L18" s="419">
        <v>0</v>
      </c>
      <c r="M18" s="419">
        <v>1</v>
      </c>
      <c r="N18" s="419">
        <v>0</v>
      </c>
      <c r="O18" s="419">
        <v>0</v>
      </c>
      <c r="P18" s="419">
        <v>0</v>
      </c>
      <c r="Q18" s="419">
        <v>0</v>
      </c>
      <c r="R18" s="419">
        <v>0</v>
      </c>
      <c r="S18" s="419">
        <v>0</v>
      </c>
      <c r="T18" s="419">
        <v>0</v>
      </c>
      <c r="U18" s="419">
        <v>0</v>
      </c>
      <c r="V18" s="419">
        <v>0</v>
      </c>
      <c r="W18" s="419">
        <v>0</v>
      </c>
      <c r="X18" s="419">
        <v>0</v>
      </c>
      <c r="Y18" s="1534"/>
    </row>
    <row r="19" spans="3:25" ht="61.5" customHeight="1" thickBot="1" x14ac:dyDescent="0.3">
      <c r="C19" s="1533" t="s">
        <v>194</v>
      </c>
      <c r="D19" s="419">
        <v>2</v>
      </c>
      <c r="E19" s="419">
        <v>1</v>
      </c>
      <c r="F19" s="419">
        <v>1</v>
      </c>
      <c r="G19" s="419">
        <v>0</v>
      </c>
      <c r="H19" s="419">
        <v>0</v>
      </c>
      <c r="I19" s="419">
        <v>2</v>
      </c>
      <c r="J19" s="419">
        <v>2</v>
      </c>
      <c r="K19" s="419">
        <v>0</v>
      </c>
      <c r="L19" s="419">
        <v>0</v>
      </c>
      <c r="M19" s="419">
        <v>0</v>
      </c>
      <c r="N19" s="419">
        <v>0</v>
      </c>
      <c r="O19" s="419">
        <v>0</v>
      </c>
      <c r="P19" s="419">
        <v>0</v>
      </c>
      <c r="Q19" s="419">
        <v>0</v>
      </c>
      <c r="R19" s="419">
        <v>0</v>
      </c>
      <c r="S19" s="419">
        <v>0</v>
      </c>
      <c r="T19" s="419">
        <v>0</v>
      </c>
      <c r="U19" s="419">
        <v>0</v>
      </c>
      <c r="V19" s="374">
        <v>1</v>
      </c>
      <c r="W19" s="419">
        <v>0</v>
      </c>
      <c r="X19" s="419">
        <v>0</v>
      </c>
      <c r="Y19" s="1534">
        <v>0</v>
      </c>
    </row>
    <row r="20" spans="3:25" ht="45.75" customHeight="1" thickBot="1" x14ac:dyDescent="0.3">
      <c r="C20" s="1533" t="s">
        <v>642</v>
      </c>
      <c r="D20" s="420"/>
      <c r="E20" s="420"/>
      <c r="F20" s="420"/>
      <c r="G20" s="420"/>
      <c r="H20" s="420"/>
      <c r="I20" s="420"/>
      <c r="J20" s="420"/>
      <c r="K20" s="420"/>
      <c r="L20" s="420"/>
      <c r="M20" s="420"/>
      <c r="N20" s="420"/>
      <c r="O20" s="420"/>
      <c r="P20" s="420"/>
      <c r="Q20" s="420"/>
      <c r="R20" s="420"/>
      <c r="S20" s="420"/>
      <c r="T20" s="420"/>
      <c r="U20" s="419">
        <v>1</v>
      </c>
      <c r="V20" s="373"/>
      <c r="W20" s="419">
        <v>0</v>
      </c>
      <c r="X20" s="419">
        <v>0</v>
      </c>
      <c r="Y20" s="1536"/>
    </row>
    <row r="21" spans="3:25" ht="45.75" customHeight="1" thickBot="1" x14ac:dyDescent="0.3">
      <c r="C21" s="1533" t="s">
        <v>436</v>
      </c>
      <c r="D21" s="420"/>
      <c r="E21" s="420"/>
      <c r="F21" s="420"/>
      <c r="G21" s="420"/>
      <c r="H21" s="420"/>
      <c r="I21" s="420"/>
      <c r="J21" s="420"/>
      <c r="K21" s="420"/>
      <c r="L21" s="420"/>
      <c r="M21" s="420"/>
      <c r="N21" s="420"/>
      <c r="O21" s="420"/>
      <c r="P21" s="420"/>
      <c r="Q21" s="420"/>
      <c r="R21" s="420"/>
      <c r="S21" s="420"/>
      <c r="T21" s="420"/>
      <c r="U21" s="419"/>
      <c r="V21" s="373"/>
      <c r="W21" s="419"/>
      <c r="X21" s="419"/>
      <c r="Y21" s="1534">
        <v>0</v>
      </c>
    </row>
    <row r="22" spans="3:25" ht="29.25" thickBot="1" x14ac:dyDescent="0.3">
      <c r="C22" s="1537" t="s">
        <v>117</v>
      </c>
      <c r="D22" s="1538">
        <f t="shared" ref="D22:N22" si="0">SUM(D8:D20)</f>
        <v>8</v>
      </c>
      <c r="E22" s="1538">
        <f t="shared" si="0"/>
        <v>2</v>
      </c>
      <c r="F22" s="1538">
        <f t="shared" si="0"/>
        <v>5</v>
      </c>
      <c r="G22" s="1538">
        <f t="shared" si="0"/>
        <v>1</v>
      </c>
      <c r="H22" s="1538">
        <f t="shared" si="0"/>
        <v>3</v>
      </c>
      <c r="I22" s="1538">
        <f t="shared" si="0"/>
        <v>4</v>
      </c>
      <c r="J22" s="1538">
        <f t="shared" si="0"/>
        <v>6</v>
      </c>
      <c r="K22" s="1538">
        <f t="shared" si="0"/>
        <v>4</v>
      </c>
      <c r="L22" s="1538">
        <f t="shared" si="0"/>
        <v>2</v>
      </c>
      <c r="M22" s="1538">
        <f t="shared" si="0"/>
        <v>4</v>
      </c>
      <c r="N22" s="1538">
        <f t="shared" si="0"/>
        <v>4</v>
      </c>
      <c r="O22" s="1538">
        <f t="shared" ref="O22:V22" si="1">SUM(O8:O20)</f>
        <v>0</v>
      </c>
      <c r="P22" s="1538">
        <f t="shared" si="1"/>
        <v>0</v>
      </c>
      <c r="Q22" s="1538">
        <f t="shared" si="1"/>
        <v>1</v>
      </c>
      <c r="R22" s="1538">
        <f t="shared" si="1"/>
        <v>0</v>
      </c>
      <c r="S22" s="1538">
        <f t="shared" si="1"/>
        <v>0</v>
      </c>
      <c r="T22" s="1538">
        <f t="shared" si="1"/>
        <v>6</v>
      </c>
      <c r="U22" s="1538">
        <f t="shared" si="1"/>
        <v>5</v>
      </c>
      <c r="V22" s="1538">
        <f t="shared" si="1"/>
        <v>3</v>
      </c>
      <c r="W22" s="1538">
        <f>SUM(W8:W20)</f>
        <v>4</v>
      </c>
      <c r="X22" s="1538">
        <f>SUM(X8:X20)</f>
        <v>0</v>
      </c>
      <c r="Y22" s="1539">
        <f>SUM(Y8:Y20)</f>
        <v>1</v>
      </c>
    </row>
    <row r="23" spans="3:25" ht="15.75" thickBot="1" x14ac:dyDescent="0.3"/>
    <row r="24" spans="3:25" ht="120.75" customHeight="1" thickBot="1" x14ac:dyDescent="0.3">
      <c r="D24" s="2556" t="s">
        <v>1311</v>
      </c>
      <c r="E24" s="2557"/>
      <c r="F24" s="2557"/>
      <c r="G24" s="2557"/>
      <c r="H24" s="2557"/>
      <c r="I24" s="2557"/>
      <c r="J24" s="2557"/>
      <c r="K24" s="2557"/>
      <c r="L24" s="2557"/>
      <c r="M24" s="2557"/>
      <c r="N24" s="2557"/>
      <c r="O24" s="2557"/>
      <c r="P24" s="2557"/>
      <c r="Q24" s="2557"/>
      <c r="R24" s="2557"/>
      <c r="S24" s="2557"/>
      <c r="T24" s="2557"/>
      <c r="U24" s="2557"/>
      <c r="V24" s="2558"/>
    </row>
    <row r="28" spans="3:25" ht="15.75" thickBot="1" x14ac:dyDescent="0.3"/>
    <row r="29" spans="3:25" ht="15.75" thickBot="1" x14ac:dyDescent="0.3">
      <c r="D29" s="208" t="s">
        <v>500</v>
      </c>
      <c r="E29" s="209" t="s">
        <v>501</v>
      </c>
      <c r="F29" s="209" t="s">
        <v>502</v>
      </c>
      <c r="G29" s="209" t="s">
        <v>503</v>
      </c>
      <c r="H29" s="209" t="s">
        <v>504</v>
      </c>
      <c r="I29" s="209" t="s">
        <v>505</v>
      </c>
      <c r="J29" s="206" t="s">
        <v>506</v>
      </c>
      <c r="K29" s="205" t="s">
        <v>507</v>
      </c>
      <c r="L29" s="207" t="s">
        <v>502</v>
      </c>
      <c r="M29" s="207" t="s">
        <v>503</v>
      </c>
      <c r="N29" s="206" t="s">
        <v>508</v>
      </c>
      <c r="O29" s="205" t="s">
        <v>505</v>
      </c>
      <c r="P29" s="207" t="s">
        <v>500</v>
      </c>
      <c r="Q29" s="210" t="s">
        <v>509</v>
      </c>
      <c r="R29" s="210" t="s">
        <v>510</v>
      </c>
      <c r="S29" s="211" t="s">
        <v>500</v>
      </c>
      <c r="T29" s="210" t="s">
        <v>509</v>
      </c>
      <c r="U29" s="210" t="s">
        <v>510</v>
      </c>
      <c r="V29" s="211" t="s">
        <v>782</v>
      </c>
      <c r="W29" s="210" t="s">
        <v>509</v>
      </c>
      <c r="X29" s="210" t="s">
        <v>1312</v>
      </c>
      <c r="Y29" s="211" t="s">
        <v>782</v>
      </c>
    </row>
    <row r="30" spans="3:25" ht="15.75" thickBot="1" x14ac:dyDescent="0.3">
      <c r="D30" s="212">
        <v>8</v>
      </c>
      <c r="E30" s="213">
        <v>2</v>
      </c>
      <c r="F30" s="213">
        <v>5</v>
      </c>
      <c r="G30" s="213">
        <v>1</v>
      </c>
      <c r="H30" s="213">
        <v>3</v>
      </c>
      <c r="I30" s="213">
        <v>4</v>
      </c>
      <c r="J30" s="213">
        <v>6</v>
      </c>
      <c r="K30" s="213">
        <v>4</v>
      </c>
      <c r="L30" s="214">
        <v>2</v>
      </c>
      <c r="M30" s="214">
        <v>4</v>
      </c>
      <c r="N30" s="215">
        <v>4</v>
      </c>
      <c r="O30" s="215">
        <v>0</v>
      </c>
      <c r="P30" s="216">
        <v>0</v>
      </c>
      <c r="Q30" s="217">
        <v>1</v>
      </c>
      <c r="R30" s="217">
        <v>0</v>
      </c>
      <c r="S30" s="217">
        <v>0</v>
      </c>
      <c r="T30" s="218">
        <v>6</v>
      </c>
      <c r="U30" s="218">
        <v>5</v>
      </c>
      <c r="V30" s="218">
        <v>3</v>
      </c>
      <c r="W30" s="218">
        <v>4</v>
      </c>
      <c r="X30" s="218">
        <v>0</v>
      </c>
      <c r="Y30" s="218">
        <v>1</v>
      </c>
    </row>
  </sheetData>
  <mergeCells count="5">
    <mergeCell ref="D24:V24"/>
    <mergeCell ref="C4:C7"/>
    <mergeCell ref="D4:I4"/>
    <mergeCell ref="C3:U3"/>
    <mergeCell ref="J4:Y4"/>
  </mergeCells>
  <printOptions horizontalCentered="1" verticalCentered="1"/>
  <pageMargins left="0.70866141732283472" right="0.70866141732283472" top="0.74803149606299213" bottom="0.74803149606299213" header="0.31496062992125984" footer="0.31496062992125984"/>
  <pageSetup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9"/>
  <sheetViews>
    <sheetView workbookViewId="0">
      <selection activeCell="A4" sqref="A4:A8"/>
    </sheetView>
  </sheetViews>
  <sheetFormatPr baseColWidth="10" defaultColWidth="11.42578125" defaultRowHeight="15" x14ac:dyDescent="0.25"/>
  <cols>
    <col min="1" max="1" width="52.140625" style="204" customWidth="1"/>
    <col min="2" max="4" width="16" style="204" hidden="1" customWidth="1"/>
    <col min="5" max="5" width="0.140625" style="204" customWidth="1"/>
    <col min="6" max="9" width="12.5703125" style="204" customWidth="1"/>
    <col min="10" max="15" width="16" style="204" hidden="1" customWidth="1"/>
    <col min="16" max="16" width="15" style="204" hidden="1" customWidth="1"/>
    <col min="17" max="17" width="15.42578125" style="204" hidden="1" customWidth="1"/>
    <col min="18" max="18" width="16.140625" style="204" hidden="1" customWidth="1"/>
    <col min="19" max="16384" width="11.42578125" style="204"/>
  </cols>
  <sheetData>
    <row r="1" spans="1:26" x14ac:dyDescent="0.25">
      <c r="A1" s="2570" t="s">
        <v>1313</v>
      </c>
      <c r="B1" s="2570"/>
      <c r="C1" s="2570"/>
      <c r="D1" s="2570"/>
      <c r="E1" s="2570"/>
      <c r="F1" s="2570"/>
      <c r="G1" s="2570"/>
      <c r="H1" s="2570"/>
      <c r="I1" s="2570"/>
      <c r="J1" s="2570"/>
      <c r="K1" s="2570"/>
      <c r="L1" s="2570"/>
      <c r="M1" s="2570"/>
      <c r="N1" s="2570"/>
      <c r="O1" s="2570"/>
      <c r="P1" s="2570"/>
      <c r="Q1" s="2570"/>
      <c r="R1" s="2570"/>
      <c r="S1" s="2570"/>
      <c r="T1" s="2570"/>
    </row>
    <row r="2" spans="1:26" ht="15.75" thickBot="1" x14ac:dyDescent="0.3">
      <c r="A2" s="2571"/>
      <c r="B2" s="2571"/>
      <c r="C2" s="2571"/>
      <c r="D2" s="2571"/>
      <c r="E2" s="2571"/>
      <c r="F2" s="2570"/>
      <c r="G2" s="2570"/>
      <c r="H2" s="2570"/>
      <c r="I2" s="2570"/>
      <c r="J2" s="2570"/>
      <c r="K2" s="2570"/>
      <c r="L2" s="2570"/>
      <c r="M2" s="2570"/>
      <c r="N2" s="2570"/>
      <c r="O2" s="2570"/>
      <c r="P2" s="2570"/>
      <c r="Q2" s="2570"/>
      <c r="R2" s="2570"/>
      <c r="S2" s="2570"/>
      <c r="T2" s="2570"/>
    </row>
    <row r="3" spans="1:26" ht="29.25" thickBot="1" x14ac:dyDescent="0.5">
      <c r="A3" s="219"/>
      <c r="B3" s="2572" t="s">
        <v>201</v>
      </c>
      <c r="C3" s="2572"/>
      <c r="D3" s="2572" t="s">
        <v>511</v>
      </c>
      <c r="E3" s="2573"/>
      <c r="F3" s="2568" t="s">
        <v>512</v>
      </c>
      <c r="G3" s="2569"/>
      <c r="H3" s="2569"/>
      <c r="I3" s="2569"/>
      <c r="J3" s="2569"/>
      <c r="K3" s="2569"/>
      <c r="L3" s="2569"/>
      <c r="M3" s="2569"/>
      <c r="N3" s="2569"/>
      <c r="O3" s="2569"/>
      <c r="P3" s="2569"/>
      <c r="Q3" s="2569"/>
      <c r="R3" s="2569"/>
      <c r="S3" s="2569"/>
      <c r="T3" s="2569"/>
      <c r="U3" s="2569"/>
      <c r="V3" s="2569"/>
      <c r="W3" s="2569"/>
      <c r="X3" s="2569"/>
      <c r="Y3" s="2569"/>
      <c r="Z3" s="2569"/>
    </row>
    <row r="4" spans="1:26" ht="30" customHeight="1" x14ac:dyDescent="0.25">
      <c r="A4" s="385" t="s">
        <v>513</v>
      </c>
      <c r="B4" s="377" t="s">
        <v>514</v>
      </c>
      <c r="C4" s="377" t="s">
        <v>515</v>
      </c>
      <c r="D4" s="377" t="s">
        <v>514</v>
      </c>
      <c r="E4" s="377" t="s">
        <v>515</v>
      </c>
      <c r="F4" s="377" t="s">
        <v>514</v>
      </c>
      <c r="G4" s="377" t="s">
        <v>515</v>
      </c>
      <c r="H4" s="377" t="s">
        <v>643</v>
      </c>
      <c r="I4" s="377" t="s">
        <v>644</v>
      </c>
      <c r="J4" s="377" t="s">
        <v>514</v>
      </c>
      <c r="K4" s="377" t="s">
        <v>515</v>
      </c>
      <c r="L4" s="377" t="s">
        <v>514</v>
      </c>
      <c r="M4" s="377" t="s">
        <v>515</v>
      </c>
      <c r="N4" s="377" t="s">
        <v>514</v>
      </c>
      <c r="O4" s="377" t="s">
        <v>515</v>
      </c>
      <c r="P4" s="377" t="s">
        <v>514</v>
      </c>
      <c r="Q4" s="377" t="s">
        <v>515</v>
      </c>
      <c r="R4" s="376" t="s">
        <v>516</v>
      </c>
      <c r="S4" s="377" t="s">
        <v>645</v>
      </c>
      <c r="T4" s="386" t="s">
        <v>646</v>
      </c>
      <c r="U4" s="377" t="s">
        <v>729</v>
      </c>
      <c r="V4" s="386" t="s">
        <v>730</v>
      </c>
      <c r="W4" s="377" t="s">
        <v>842</v>
      </c>
      <c r="X4" s="386" t="s">
        <v>843</v>
      </c>
      <c r="Y4" s="377" t="s">
        <v>1006</v>
      </c>
      <c r="Z4" s="386" t="s">
        <v>1007</v>
      </c>
    </row>
    <row r="5" spans="1:26" ht="59.25" customHeight="1" x14ac:dyDescent="0.25">
      <c r="A5" s="387" t="s">
        <v>647</v>
      </c>
      <c r="B5" s="378"/>
      <c r="C5" s="378"/>
      <c r="D5" s="378"/>
      <c r="E5" s="378"/>
      <c r="F5" s="379">
        <v>74</v>
      </c>
      <c r="G5" s="379">
        <v>128</v>
      </c>
      <c r="H5" s="389">
        <v>120</v>
      </c>
      <c r="I5" s="389">
        <v>50</v>
      </c>
      <c r="J5" s="378"/>
      <c r="K5" s="378"/>
      <c r="L5" s="378"/>
      <c r="M5" s="378"/>
      <c r="N5" s="378"/>
      <c r="O5" s="378"/>
      <c r="P5" s="380">
        <f t="shared" ref="P5:Q7" si="0">SUM(N5,L5,J5,H5,F5,D5,B5)</f>
        <v>194</v>
      </c>
      <c r="Q5" s="380">
        <f t="shared" si="0"/>
        <v>178</v>
      </c>
      <c r="R5" s="380">
        <f>+P5+Q5</f>
        <v>372</v>
      </c>
      <c r="S5" s="541">
        <v>142</v>
      </c>
      <c r="T5" s="541">
        <v>95</v>
      </c>
      <c r="U5" s="541">
        <v>65</v>
      </c>
      <c r="V5" s="541">
        <v>66</v>
      </c>
      <c r="W5" s="803">
        <v>40</v>
      </c>
      <c r="X5" s="803">
        <v>10</v>
      </c>
      <c r="Y5" s="803">
        <v>117</v>
      </c>
      <c r="Z5" s="803">
        <v>87</v>
      </c>
    </row>
    <row r="6" spans="1:26" ht="55.5" customHeight="1" x14ac:dyDescent="0.25">
      <c r="A6" s="387" t="s">
        <v>648</v>
      </c>
      <c r="B6" s="378"/>
      <c r="C6" s="378"/>
      <c r="D6" s="378"/>
      <c r="E6" s="378"/>
      <c r="F6" s="379">
        <v>1</v>
      </c>
      <c r="G6" s="379">
        <v>0</v>
      </c>
      <c r="H6" s="389">
        <v>0</v>
      </c>
      <c r="I6" s="389">
        <v>0</v>
      </c>
      <c r="J6" s="378"/>
      <c r="K6" s="378"/>
      <c r="L6" s="378"/>
      <c r="M6" s="378"/>
      <c r="N6" s="378"/>
      <c r="O6" s="378"/>
      <c r="P6" s="380">
        <f t="shared" si="0"/>
        <v>1</v>
      </c>
      <c r="Q6" s="380">
        <f t="shared" si="0"/>
        <v>0</v>
      </c>
      <c r="R6" s="380">
        <f>+P6+Q6</f>
        <v>1</v>
      </c>
      <c r="S6" s="541">
        <v>3</v>
      </c>
      <c r="T6" s="541">
        <v>1</v>
      </c>
      <c r="U6" s="541">
        <v>0</v>
      </c>
      <c r="V6" s="541">
        <v>0</v>
      </c>
      <c r="W6" s="803">
        <v>0</v>
      </c>
      <c r="X6" s="803">
        <v>0</v>
      </c>
      <c r="Y6" s="803">
        <v>0</v>
      </c>
      <c r="Z6" s="803">
        <v>0</v>
      </c>
    </row>
    <row r="7" spans="1:26" ht="41.25" customHeight="1" thickBot="1" x14ac:dyDescent="0.3">
      <c r="A7" s="388" t="s">
        <v>649</v>
      </c>
      <c r="B7" s="381"/>
      <c r="C7" s="381"/>
      <c r="D7" s="381"/>
      <c r="E7" s="381"/>
      <c r="F7" s="379">
        <v>0</v>
      </c>
      <c r="G7" s="379">
        <v>1</v>
      </c>
      <c r="H7" s="389">
        <v>0</v>
      </c>
      <c r="I7" s="389">
        <v>0</v>
      </c>
      <c r="J7" s="378"/>
      <c r="K7" s="378"/>
      <c r="L7" s="378"/>
      <c r="M7" s="378"/>
      <c r="N7" s="378"/>
      <c r="O7" s="378"/>
      <c r="P7" s="380">
        <f t="shared" si="0"/>
        <v>0</v>
      </c>
      <c r="Q7" s="380">
        <f t="shared" si="0"/>
        <v>1</v>
      </c>
      <c r="R7" s="380">
        <f>+P7+Q7</f>
        <v>1</v>
      </c>
      <c r="S7" s="541">
        <v>1</v>
      </c>
      <c r="T7" s="541">
        <v>1</v>
      </c>
      <c r="U7" s="541">
        <v>0</v>
      </c>
      <c r="V7" s="541">
        <v>0</v>
      </c>
      <c r="W7" s="803">
        <v>0</v>
      </c>
      <c r="X7" s="803">
        <v>0</v>
      </c>
      <c r="Y7" s="803">
        <v>0</v>
      </c>
      <c r="Z7" s="803">
        <v>0</v>
      </c>
    </row>
    <row r="8" spans="1:26" ht="41.25" customHeight="1" thickBot="1" x14ac:dyDescent="0.3">
      <c r="A8" s="382" t="s">
        <v>588</v>
      </c>
      <c r="B8" s="383">
        <f t="shared" ref="B8:O8" si="1">SUM(B5:B7)</f>
        <v>0</v>
      </c>
      <c r="C8" s="383">
        <f t="shared" si="1"/>
        <v>0</v>
      </c>
      <c r="D8" s="383">
        <f t="shared" si="1"/>
        <v>0</v>
      </c>
      <c r="E8" s="383">
        <f t="shared" si="1"/>
        <v>0</v>
      </c>
      <c r="F8" s="537">
        <f t="shared" si="1"/>
        <v>75</v>
      </c>
      <c r="G8" s="537">
        <f t="shared" si="1"/>
        <v>129</v>
      </c>
      <c r="H8" s="537">
        <f t="shared" si="1"/>
        <v>120</v>
      </c>
      <c r="I8" s="538">
        <f t="shared" si="1"/>
        <v>50</v>
      </c>
      <c r="J8" s="539">
        <f t="shared" si="1"/>
        <v>0</v>
      </c>
      <c r="K8" s="540">
        <f t="shared" si="1"/>
        <v>0</v>
      </c>
      <c r="L8" s="540">
        <f t="shared" si="1"/>
        <v>0</v>
      </c>
      <c r="M8" s="540">
        <f t="shared" si="1"/>
        <v>0</v>
      </c>
      <c r="N8" s="540">
        <f t="shared" si="1"/>
        <v>0</v>
      </c>
      <c r="O8" s="540">
        <f t="shared" si="1"/>
        <v>0</v>
      </c>
      <c r="P8" s="540">
        <f>SUM(P5:P7)</f>
        <v>195</v>
      </c>
      <c r="Q8" s="540">
        <f>SUM(Q5:Q7)</f>
        <v>179</v>
      </c>
      <c r="R8" s="540">
        <f>+P8+Q8</f>
        <v>374</v>
      </c>
      <c r="S8" s="537">
        <f t="shared" ref="S8:V8" si="2">SUM(S5:S7)</f>
        <v>146</v>
      </c>
      <c r="T8" s="538">
        <f t="shared" si="2"/>
        <v>97</v>
      </c>
      <c r="U8" s="537">
        <f t="shared" si="2"/>
        <v>65</v>
      </c>
      <c r="V8" s="538">
        <f t="shared" si="2"/>
        <v>66</v>
      </c>
      <c r="W8" s="697">
        <v>40</v>
      </c>
      <c r="X8" s="698">
        <v>10</v>
      </c>
      <c r="Y8" s="1687">
        <v>117</v>
      </c>
      <c r="Z8" s="1688">
        <f>+Z5+Z6+Z7</f>
        <v>87</v>
      </c>
    </row>
    <row r="9" spans="1:26" ht="23.25" x14ac:dyDescent="0.35">
      <c r="A9" s="384"/>
      <c r="B9" s="384"/>
      <c r="C9" s="384"/>
      <c r="D9" s="384"/>
      <c r="E9" s="384"/>
      <c r="F9" s="2567">
        <f>F8+G8</f>
        <v>204</v>
      </c>
      <c r="G9" s="2567"/>
      <c r="H9" s="2567">
        <f>H8+I8</f>
        <v>170</v>
      </c>
      <c r="I9" s="2567"/>
      <c r="J9" s="384"/>
      <c r="K9" s="384"/>
      <c r="L9" s="384"/>
      <c r="M9" s="384"/>
      <c r="N9" s="384"/>
      <c r="O9" s="384"/>
      <c r="S9" s="2567">
        <f>S8+T8</f>
        <v>243</v>
      </c>
      <c r="T9" s="2567"/>
      <c r="U9" s="2567">
        <f>U8+V8</f>
        <v>131</v>
      </c>
      <c r="V9" s="2567"/>
      <c r="W9" s="2567">
        <f>W8+X8</f>
        <v>50</v>
      </c>
      <c r="X9" s="2567"/>
      <c r="Y9" s="2567">
        <f>Y8+Z8</f>
        <v>204</v>
      </c>
      <c r="Z9" s="2567"/>
    </row>
    <row r="10" spans="1:26" x14ac:dyDescent="0.25">
      <c r="A10" s="220"/>
      <c r="B10" s="220"/>
      <c r="C10" s="220"/>
      <c r="D10" s="220"/>
      <c r="E10" s="220"/>
      <c r="F10" s="220"/>
      <c r="G10" s="220"/>
      <c r="H10" s="220"/>
      <c r="I10" s="220"/>
      <c r="J10" s="220"/>
      <c r="K10" s="220"/>
      <c r="L10" s="220"/>
      <c r="M10" s="220"/>
      <c r="N10" s="220"/>
      <c r="O10" s="220"/>
      <c r="P10" s="220"/>
      <c r="Q10" s="220"/>
      <c r="R10" s="220"/>
    </row>
    <row r="11" spans="1:26" x14ac:dyDescent="0.25">
      <c r="A11" s="220"/>
      <c r="B11" s="220"/>
      <c r="C11" s="220"/>
      <c r="D11" s="220"/>
      <c r="E11" s="220"/>
      <c r="F11" s="220"/>
      <c r="G11" s="220"/>
      <c r="H11" s="220"/>
      <c r="I11" s="220"/>
      <c r="J11" s="220"/>
      <c r="K11" s="220"/>
      <c r="L11" s="220"/>
      <c r="M11" s="220"/>
      <c r="N11" s="220"/>
      <c r="O11" s="220"/>
      <c r="P11" s="220"/>
      <c r="Q11" s="220"/>
      <c r="R11" s="220"/>
    </row>
    <row r="12" spans="1:26" x14ac:dyDescent="0.25">
      <c r="A12" s="220"/>
      <c r="B12" s="220"/>
      <c r="C12" s="220"/>
      <c r="D12" s="220"/>
      <c r="E12" s="220"/>
      <c r="F12" s="220"/>
      <c r="G12" s="220"/>
      <c r="H12" s="220"/>
      <c r="I12" s="220"/>
      <c r="J12" s="220"/>
      <c r="K12" s="220"/>
      <c r="L12" s="220"/>
      <c r="M12" s="220"/>
      <c r="N12" s="220"/>
      <c r="O12" s="220"/>
      <c r="P12" s="220"/>
      <c r="Q12" s="220"/>
      <c r="R12" s="220"/>
    </row>
    <row r="13" spans="1:26" x14ac:dyDescent="0.25">
      <c r="A13" s="220"/>
      <c r="B13" s="220"/>
      <c r="C13" s="220"/>
      <c r="D13" s="220"/>
      <c r="E13" s="220"/>
      <c r="F13" s="220"/>
    </row>
    <row r="14" spans="1:26" x14ac:dyDescent="0.25">
      <c r="A14" s="220"/>
      <c r="B14" s="220"/>
      <c r="C14" s="220"/>
      <c r="D14" s="220"/>
      <c r="E14" s="220"/>
      <c r="F14" s="220"/>
    </row>
    <row r="15" spans="1:26" x14ac:dyDescent="0.25">
      <c r="A15" s="220"/>
      <c r="B15" s="220"/>
      <c r="C15" s="220"/>
      <c r="D15" s="220"/>
      <c r="E15" s="220"/>
      <c r="F15" s="220"/>
    </row>
    <row r="16" spans="1:26" x14ac:dyDescent="0.25">
      <c r="A16" s="220"/>
      <c r="B16" s="220"/>
      <c r="C16" s="220"/>
      <c r="D16" s="220"/>
      <c r="E16" s="220"/>
      <c r="F16" s="220"/>
    </row>
    <row r="17" spans="1:18" x14ac:dyDescent="0.25">
      <c r="A17" s="220"/>
      <c r="B17" s="220"/>
      <c r="C17" s="220"/>
      <c r="D17" s="220"/>
      <c r="E17" s="220"/>
      <c r="F17" s="220"/>
    </row>
    <row r="18" spans="1:18" x14ac:dyDescent="0.25">
      <c r="A18" s="220"/>
      <c r="B18" s="220"/>
      <c r="C18" s="220"/>
      <c r="D18" s="220"/>
      <c r="E18" s="220"/>
      <c r="F18" s="220"/>
      <c r="G18" s="220"/>
      <c r="H18" s="220"/>
      <c r="I18" s="220"/>
      <c r="J18" s="220"/>
      <c r="K18" s="220"/>
      <c r="L18" s="220"/>
      <c r="M18" s="220"/>
      <c r="N18" s="220"/>
      <c r="O18" s="220"/>
      <c r="P18" s="220"/>
      <c r="Q18" s="220"/>
      <c r="R18" s="220"/>
    </row>
    <row r="19" spans="1:18" x14ac:dyDescent="0.25">
      <c r="A19" s="220"/>
      <c r="B19" s="220"/>
      <c r="C19" s="220"/>
      <c r="D19" s="220"/>
      <c r="E19" s="220"/>
      <c r="F19" s="220"/>
      <c r="G19" s="220"/>
      <c r="H19" s="220"/>
      <c r="I19" s="220"/>
      <c r="J19" s="220"/>
      <c r="K19" s="220"/>
      <c r="L19" s="220"/>
      <c r="M19" s="220"/>
      <c r="N19" s="220"/>
      <c r="O19" s="220"/>
      <c r="P19" s="220"/>
      <c r="Q19" s="220"/>
      <c r="R19" s="220"/>
    </row>
  </sheetData>
  <mergeCells count="10">
    <mergeCell ref="Y9:Z9"/>
    <mergeCell ref="F3:Z3"/>
    <mergeCell ref="U9:V9"/>
    <mergeCell ref="A1:T2"/>
    <mergeCell ref="F9:G9"/>
    <mergeCell ref="H9:I9"/>
    <mergeCell ref="S9:T9"/>
    <mergeCell ref="B3:C3"/>
    <mergeCell ref="D3:E3"/>
    <mergeCell ref="W9:X9"/>
  </mergeCells>
  <pageMargins left="0.70866141732283472" right="0.70866141732283472" top="0.74803149606299213" bottom="0.74803149606299213" header="0.31496062992125984" footer="0.31496062992125984"/>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FF0000"/>
  </sheetPr>
  <dimension ref="A4:AI39"/>
  <sheetViews>
    <sheetView zoomScale="80" zoomScaleNormal="80" workbookViewId="0">
      <selection activeCell="A16" sqref="A16:X23"/>
    </sheetView>
  </sheetViews>
  <sheetFormatPr baseColWidth="10" defaultRowHeight="12.75" x14ac:dyDescent="0.2"/>
  <cols>
    <col min="1" max="1" width="29.7109375" style="1290" customWidth="1"/>
    <col min="2" max="6" width="6.28515625" style="1290" customWidth="1"/>
    <col min="7" max="7" width="6.28515625" style="1298" customWidth="1"/>
    <col min="8" max="13" width="6.28515625" style="1290" customWidth="1"/>
    <col min="14" max="14" width="7.7109375" style="1290" customWidth="1"/>
    <col min="15" max="15" width="9" style="1290" customWidth="1"/>
    <col min="16" max="20" width="6.28515625" style="1290" customWidth="1"/>
    <col min="21" max="22" width="11.140625" style="1291" customWidth="1"/>
    <col min="23" max="23" width="11.140625" style="1292" customWidth="1"/>
    <col min="24" max="26" width="11.140625" style="1290" customWidth="1"/>
    <col min="27" max="27" width="14.28515625" style="1290" customWidth="1"/>
    <col min="28" max="32" width="11.42578125" style="1290"/>
    <col min="33" max="33" width="27.42578125" style="1290" customWidth="1"/>
    <col min="34" max="34" width="36" style="1290" customWidth="1"/>
    <col min="35" max="35" width="31.42578125" style="1290" customWidth="1"/>
    <col min="36" max="38" width="14.28515625" style="1290" customWidth="1"/>
    <col min="39" max="39" width="15.28515625" style="1290" customWidth="1"/>
    <col min="40" max="261" width="11.42578125" style="1290"/>
    <col min="262" max="262" width="17.5703125" style="1290" customWidth="1"/>
    <col min="263" max="273" width="11.28515625" style="1290" customWidth="1"/>
    <col min="274" max="274" width="0" style="1290" hidden="1" customWidth="1"/>
    <col min="275" max="275" width="8.85546875" style="1290" customWidth="1"/>
    <col min="276" max="276" width="15.140625" style="1290" customWidth="1"/>
    <col min="277" max="291" width="11.42578125" style="1290"/>
    <col min="292" max="294" width="14.28515625" style="1290" customWidth="1"/>
    <col min="295" max="295" width="15.28515625" style="1290" customWidth="1"/>
    <col min="296" max="517" width="11.42578125" style="1290"/>
    <col min="518" max="518" width="17.5703125" style="1290" customWidth="1"/>
    <col min="519" max="529" width="11.28515625" style="1290" customWidth="1"/>
    <col min="530" max="530" width="0" style="1290" hidden="1" customWidth="1"/>
    <col min="531" max="531" width="8.85546875" style="1290" customWidth="1"/>
    <col min="532" max="532" width="15.140625" style="1290" customWidth="1"/>
    <col min="533" max="547" width="11.42578125" style="1290"/>
    <col min="548" max="550" width="14.28515625" style="1290" customWidth="1"/>
    <col min="551" max="551" width="15.28515625" style="1290" customWidth="1"/>
    <col min="552" max="773" width="11.42578125" style="1290"/>
    <col min="774" max="774" width="17.5703125" style="1290" customWidth="1"/>
    <col min="775" max="785" width="11.28515625" style="1290" customWidth="1"/>
    <col min="786" max="786" width="0" style="1290" hidden="1" customWidth="1"/>
    <col min="787" max="787" width="8.85546875" style="1290" customWidth="1"/>
    <col min="788" max="788" width="15.140625" style="1290" customWidth="1"/>
    <col min="789" max="803" width="11.42578125" style="1290"/>
    <col min="804" max="806" width="14.28515625" style="1290" customWidth="1"/>
    <col min="807" max="807" width="15.28515625" style="1290" customWidth="1"/>
    <col min="808" max="1029" width="11.42578125" style="1290"/>
    <col min="1030" max="1030" width="17.5703125" style="1290" customWidth="1"/>
    <col min="1031" max="1041" width="11.28515625" style="1290" customWidth="1"/>
    <col min="1042" max="1042" width="0" style="1290" hidden="1" customWidth="1"/>
    <col min="1043" max="1043" width="8.85546875" style="1290" customWidth="1"/>
    <col min="1044" max="1044" width="15.140625" style="1290" customWidth="1"/>
    <col min="1045" max="1059" width="11.42578125" style="1290"/>
    <col min="1060" max="1062" width="14.28515625" style="1290" customWidth="1"/>
    <col min="1063" max="1063" width="15.28515625" style="1290" customWidth="1"/>
    <col min="1064" max="1285" width="11.42578125" style="1290"/>
    <col min="1286" max="1286" width="17.5703125" style="1290" customWidth="1"/>
    <col min="1287" max="1297" width="11.28515625" style="1290" customWidth="1"/>
    <col min="1298" max="1298" width="0" style="1290" hidden="1" customWidth="1"/>
    <col min="1299" max="1299" width="8.85546875" style="1290" customWidth="1"/>
    <col min="1300" max="1300" width="15.140625" style="1290" customWidth="1"/>
    <col min="1301" max="1315" width="11.42578125" style="1290"/>
    <col min="1316" max="1318" width="14.28515625" style="1290" customWidth="1"/>
    <col min="1319" max="1319" width="15.28515625" style="1290" customWidth="1"/>
    <col min="1320" max="1541" width="11.42578125" style="1290"/>
    <col min="1542" max="1542" width="17.5703125" style="1290" customWidth="1"/>
    <col min="1543" max="1553" width="11.28515625" style="1290" customWidth="1"/>
    <col min="1554" max="1554" width="0" style="1290" hidden="1" customWidth="1"/>
    <col min="1555" max="1555" width="8.85546875" style="1290" customWidth="1"/>
    <col min="1556" max="1556" width="15.140625" style="1290" customWidth="1"/>
    <col min="1557" max="1571" width="11.42578125" style="1290"/>
    <col min="1572" max="1574" width="14.28515625" style="1290" customWidth="1"/>
    <col min="1575" max="1575" width="15.28515625" style="1290" customWidth="1"/>
    <col min="1576" max="1797" width="11.42578125" style="1290"/>
    <col min="1798" max="1798" width="17.5703125" style="1290" customWidth="1"/>
    <col min="1799" max="1809" width="11.28515625" style="1290" customWidth="1"/>
    <col min="1810" max="1810" width="0" style="1290" hidden="1" customWidth="1"/>
    <col min="1811" max="1811" width="8.85546875" style="1290" customWidth="1"/>
    <col min="1812" max="1812" width="15.140625" style="1290" customWidth="1"/>
    <col min="1813" max="1827" width="11.42578125" style="1290"/>
    <col min="1828" max="1830" width="14.28515625" style="1290" customWidth="1"/>
    <col min="1831" max="1831" width="15.28515625" style="1290" customWidth="1"/>
    <col min="1832" max="2053" width="11.42578125" style="1290"/>
    <col min="2054" max="2054" width="17.5703125" style="1290" customWidth="1"/>
    <col min="2055" max="2065" width="11.28515625" style="1290" customWidth="1"/>
    <col min="2066" max="2066" width="0" style="1290" hidden="1" customWidth="1"/>
    <col min="2067" max="2067" width="8.85546875" style="1290" customWidth="1"/>
    <col min="2068" max="2068" width="15.140625" style="1290" customWidth="1"/>
    <col min="2069" max="2083" width="11.42578125" style="1290"/>
    <col min="2084" max="2086" width="14.28515625" style="1290" customWidth="1"/>
    <col min="2087" max="2087" width="15.28515625" style="1290" customWidth="1"/>
    <col min="2088" max="2309" width="11.42578125" style="1290"/>
    <col min="2310" max="2310" width="17.5703125" style="1290" customWidth="1"/>
    <col min="2311" max="2321" width="11.28515625" style="1290" customWidth="1"/>
    <col min="2322" max="2322" width="0" style="1290" hidden="1" customWidth="1"/>
    <col min="2323" max="2323" width="8.85546875" style="1290" customWidth="1"/>
    <col min="2324" max="2324" width="15.140625" style="1290" customWidth="1"/>
    <col min="2325" max="2339" width="11.42578125" style="1290"/>
    <col min="2340" max="2342" width="14.28515625" style="1290" customWidth="1"/>
    <col min="2343" max="2343" width="15.28515625" style="1290" customWidth="1"/>
    <col min="2344" max="2565" width="11.42578125" style="1290"/>
    <col min="2566" max="2566" width="17.5703125" style="1290" customWidth="1"/>
    <col min="2567" max="2577" width="11.28515625" style="1290" customWidth="1"/>
    <col min="2578" max="2578" width="0" style="1290" hidden="1" customWidth="1"/>
    <col min="2579" max="2579" width="8.85546875" style="1290" customWidth="1"/>
    <col min="2580" max="2580" width="15.140625" style="1290" customWidth="1"/>
    <col min="2581" max="2595" width="11.42578125" style="1290"/>
    <col min="2596" max="2598" width="14.28515625" style="1290" customWidth="1"/>
    <col min="2599" max="2599" width="15.28515625" style="1290" customWidth="1"/>
    <col min="2600" max="2821" width="11.42578125" style="1290"/>
    <col min="2822" max="2822" width="17.5703125" style="1290" customWidth="1"/>
    <col min="2823" max="2833" width="11.28515625" style="1290" customWidth="1"/>
    <col min="2834" max="2834" width="0" style="1290" hidden="1" customWidth="1"/>
    <col min="2835" max="2835" width="8.85546875" style="1290" customWidth="1"/>
    <col min="2836" max="2836" width="15.140625" style="1290" customWidth="1"/>
    <col min="2837" max="2851" width="11.42578125" style="1290"/>
    <col min="2852" max="2854" width="14.28515625" style="1290" customWidth="1"/>
    <col min="2855" max="2855" width="15.28515625" style="1290" customWidth="1"/>
    <col min="2856" max="3077" width="11.42578125" style="1290"/>
    <col min="3078" max="3078" width="17.5703125" style="1290" customWidth="1"/>
    <col min="3079" max="3089" width="11.28515625" style="1290" customWidth="1"/>
    <col min="3090" max="3090" width="0" style="1290" hidden="1" customWidth="1"/>
    <col min="3091" max="3091" width="8.85546875" style="1290" customWidth="1"/>
    <col min="3092" max="3092" width="15.140625" style="1290" customWidth="1"/>
    <col min="3093" max="3107" width="11.42578125" style="1290"/>
    <col min="3108" max="3110" width="14.28515625" style="1290" customWidth="1"/>
    <col min="3111" max="3111" width="15.28515625" style="1290" customWidth="1"/>
    <col min="3112" max="3333" width="11.42578125" style="1290"/>
    <col min="3334" max="3334" width="17.5703125" style="1290" customWidth="1"/>
    <col min="3335" max="3345" width="11.28515625" style="1290" customWidth="1"/>
    <col min="3346" max="3346" width="0" style="1290" hidden="1" customWidth="1"/>
    <col min="3347" max="3347" width="8.85546875" style="1290" customWidth="1"/>
    <col min="3348" max="3348" width="15.140625" style="1290" customWidth="1"/>
    <col min="3349" max="3363" width="11.42578125" style="1290"/>
    <col min="3364" max="3366" width="14.28515625" style="1290" customWidth="1"/>
    <col min="3367" max="3367" width="15.28515625" style="1290" customWidth="1"/>
    <col min="3368" max="3589" width="11.42578125" style="1290"/>
    <col min="3590" max="3590" width="17.5703125" style="1290" customWidth="1"/>
    <col min="3591" max="3601" width="11.28515625" style="1290" customWidth="1"/>
    <col min="3602" max="3602" width="0" style="1290" hidden="1" customWidth="1"/>
    <col min="3603" max="3603" width="8.85546875" style="1290" customWidth="1"/>
    <col min="3604" max="3604" width="15.140625" style="1290" customWidth="1"/>
    <col min="3605" max="3619" width="11.42578125" style="1290"/>
    <col min="3620" max="3622" width="14.28515625" style="1290" customWidth="1"/>
    <col min="3623" max="3623" width="15.28515625" style="1290" customWidth="1"/>
    <col min="3624" max="3845" width="11.42578125" style="1290"/>
    <col min="3846" max="3846" width="17.5703125" style="1290" customWidth="1"/>
    <col min="3847" max="3857" width="11.28515625" style="1290" customWidth="1"/>
    <col min="3858" max="3858" width="0" style="1290" hidden="1" customWidth="1"/>
    <col min="3859" max="3859" width="8.85546875" style="1290" customWidth="1"/>
    <col min="3860" max="3860" width="15.140625" style="1290" customWidth="1"/>
    <col min="3861" max="3875" width="11.42578125" style="1290"/>
    <col min="3876" max="3878" width="14.28515625" style="1290" customWidth="1"/>
    <col min="3879" max="3879" width="15.28515625" style="1290" customWidth="1"/>
    <col min="3880" max="4101" width="11.42578125" style="1290"/>
    <col min="4102" max="4102" width="17.5703125" style="1290" customWidth="1"/>
    <col min="4103" max="4113" width="11.28515625" style="1290" customWidth="1"/>
    <col min="4114" max="4114" width="0" style="1290" hidden="1" customWidth="1"/>
    <col min="4115" max="4115" width="8.85546875" style="1290" customWidth="1"/>
    <col min="4116" max="4116" width="15.140625" style="1290" customWidth="1"/>
    <col min="4117" max="4131" width="11.42578125" style="1290"/>
    <col min="4132" max="4134" width="14.28515625" style="1290" customWidth="1"/>
    <col min="4135" max="4135" width="15.28515625" style="1290" customWidth="1"/>
    <col min="4136" max="4357" width="11.42578125" style="1290"/>
    <col min="4358" max="4358" width="17.5703125" style="1290" customWidth="1"/>
    <col min="4359" max="4369" width="11.28515625" style="1290" customWidth="1"/>
    <col min="4370" max="4370" width="0" style="1290" hidden="1" customWidth="1"/>
    <col min="4371" max="4371" width="8.85546875" style="1290" customWidth="1"/>
    <col min="4372" max="4372" width="15.140625" style="1290" customWidth="1"/>
    <col min="4373" max="4387" width="11.42578125" style="1290"/>
    <col min="4388" max="4390" width="14.28515625" style="1290" customWidth="1"/>
    <col min="4391" max="4391" width="15.28515625" style="1290" customWidth="1"/>
    <col min="4392" max="4613" width="11.42578125" style="1290"/>
    <col min="4614" max="4614" width="17.5703125" style="1290" customWidth="1"/>
    <col min="4615" max="4625" width="11.28515625" style="1290" customWidth="1"/>
    <col min="4626" max="4626" width="0" style="1290" hidden="1" customWidth="1"/>
    <col min="4627" max="4627" width="8.85546875" style="1290" customWidth="1"/>
    <col min="4628" max="4628" width="15.140625" style="1290" customWidth="1"/>
    <col min="4629" max="4643" width="11.42578125" style="1290"/>
    <col min="4644" max="4646" width="14.28515625" style="1290" customWidth="1"/>
    <col min="4647" max="4647" width="15.28515625" style="1290" customWidth="1"/>
    <col min="4648" max="4869" width="11.42578125" style="1290"/>
    <col min="4870" max="4870" width="17.5703125" style="1290" customWidth="1"/>
    <col min="4871" max="4881" width="11.28515625" style="1290" customWidth="1"/>
    <col min="4882" max="4882" width="0" style="1290" hidden="1" customWidth="1"/>
    <col min="4883" max="4883" width="8.85546875" style="1290" customWidth="1"/>
    <col min="4884" max="4884" width="15.140625" style="1290" customWidth="1"/>
    <col min="4885" max="4899" width="11.42578125" style="1290"/>
    <col min="4900" max="4902" width="14.28515625" style="1290" customWidth="1"/>
    <col min="4903" max="4903" width="15.28515625" style="1290" customWidth="1"/>
    <col min="4904" max="5125" width="11.42578125" style="1290"/>
    <col min="5126" max="5126" width="17.5703125" style="1290" customWidth="1"/>
    <col min="5127" max="5137" width="11.28515625" style="1290" customWidth="1"/>
    <col min="5138" max="5138" width="0" style="1290" hidden="1" customWidth="1"/>
    <col min="5139" max="5139" width="8.85546875" style="1290" customWidth="1"/>
    <col min="5140" max="5140" width="15.140625" style="1290" customWidth="1"/>
    <col min="5141" max="5155" width="11.42578125" style="1290"/>
    <col min="5156" max="5158" width="14.28515625" style="1290" customWidth="1"/>
    <col min="5159" max="5159" width="15.28515625" style="1290" customWidth="1"/>
    <col min="5160" max="5381" width="11.42578125" style="1290"/>
    <col min="5382" max="5382" width="17.5703125" style="1290" customWidth="1"/>
    <col min="5383" max="5393" width="11.28515625" style="1290" customWidth="1"/>
    <col min="5394" max="5394" width="0" style="1290" hidden="1" customWidth="1"/>
    <col min="5395" max="5395" width="8.85546875" style="1290" customWidth="1"/>
    <col min="5396" max="5396" width="15.140625" style="1290" customWidth="1"/>
    <col min="5397" max="5411" width="11.42578125" style="1290"/>
    <col min="5412" max="5414" width="14.28515625" style="1290" customWidth="1"/>
    <col min="5415" max="5415" width="15.28515625" style="1290" customWidth="1"/>
    <col min="5416" max="5637" width="11.42578125" style="1290"/>
    <col min="5638" max="5638" width="17.5703125" style="1290" customWidth="1"/>
    <col min="5639" max="5649" width="11.28515625" style="1290" customWidth="1"/>
    <col min="5650" max="5650" width="0" style="1290" hidden="1" customWidth="1"/>
    <col min="5651" max="5651" width="8.85546875" style="1290" customWidth="1"/>
    <col min="5652" max="5652" width="15.140625" style="1290" customWidth="1"/>
    <col min="5653" max="5667" width="11.42578125" style="1290"/>
    <col min="5668" max="5670" width="14.28515625" style="1290" customWidth="1"/>
    <col min="5671" max="5671" width="15.28515625" style="1290" customWidth="1"/>
    <col min="5672" max="5893" width="11.42578125" style="1290"/>
    <col min="5894" max="5894" width="17.5703125" style="1290" customWidth="1"/>
    <col min="5895" max="5905" width="11.28515625" style="1290" customWidth="1"/>
    <col min="5906" max="5906" width="0" style="1290" hidden="1" customWidth="1"/>
    <col min="5907" max="5907" width="8.85546875" style="1290" customWidth="1"/>
    <col min="5908" max="5908" width="15.140625" style="1290" customWidth="1"/>
    <col min="5909" max="5923" width="11.42578125" style="1290"/>
    <col min="5924" max="5926" width="14.28515625" style="1290" customWidth="1"/>
    <col min="5927" max="5927" width="15.28515625" style="1290" customWidth="1"/>
    <col min="5928" max="6149" width="11.42578125" style="1290"/>
    <col min="6150" max="6150" width="17.5703125" style="1290" customWidth="1"/>
    <col min="6151" max="6161" width="11.28515625" style="1290" customWidth="1"/>
    <col min="6162" max="6162" width="0" style="1290" hidden="1" customWidth="1"/>
    <col min="6163" max="6163" width="8.85546875" style="1290" customWidth="1"/>
    <col min="6164" max="6164" width="15.140625" style="1290" customWidth="1"/>
    <col min="6165" max="6179" width="11.42578125" style="1290"/>
    <col min="6180" max="6182" width="14.28515625" style="1290" customWidth="1"/>
    <col min="6183" max="6183" width="15.28515625" style="1290" customWidth="1"/>
    <col min="6184" max="6405" width="11.42578125" style="1290"/>
    <col min="6406" max="6406" width="17.5703125" style="1290" customWidth="1"/>
    <col min="6407" max="6417" width="11.28515625" style="1290" customWidth="1"/>
    <col min="6418" max="6418" width="0" style="1290" hidden="1" customWidth="1"/>
    <col min="6419" max="6419" width="8.85546875" style="1290" customWidth="1"/>
    <col min="6420" max="6420" width="15.140625" style="1290" customWidth="1"/>
    <col min="6421" max="6435" width="11.42578125" style="1290"/>
    <col min="6436" max="6438" width="14.28515625" style="1290" customWidth="1"/>
    <col min="6439" max="6439" width="15.28515625" style="1290" customWidth="1"/>
    <col min="6440" max="6661" width="11.42578125" style="1290"/>
    <col min="6662" max="6662" width="17.5703125" style="1290" customWidth="1"/>
    <col min="6663" max="6673" width="11.28515625" style="1290" customWidth="1"/>
    <col min="6674" max="6674" width="0" style="1290" hidden="1" customWidth="1"/>
    <col min="6675" max="6675" width="8.85546875" style="1290" customWidth="1"/>
    <col min="6676" max="6676" width="15.140625" style="1290" customWidth="1"/>
    <col min="6677" max="6691" width="11.42578125" style="1290"/>
    <col min="6692" max="6694" width="14.28515625" style="1290" customWidth="1"/>
    <col min="6695" max="6695" width="15.28515625" style="1290" customWidth="1"/>
    <col min="6696" max="6917" width="11.42578125" style="1290"/>
    <col min="6918" max="6918" width="17.5703125" style="1290" customWidth="1"/>
    <col min="6919" max="6929" width="11.28515625" style="1290" customWidth="1"/>
    <col min="6930" max="6930" width="0" style="1290" hidden="1" customWidth="1"/>
    <col min="6931" max="6931" width="8.85546875" style="1290" customWidth="1"/>
    <col min="6932" max="6932" width="15.140625" style="1290" customWidth="1"/>
    <col min="6933" max="6947" width="11.42578125" style="1290"/>
    <col min="6948" max="6950" width="14.28515625" style="1290" customWidth="1"/>
    <col min="6951" max="6951" width="15.28515625" style="1290" customWidth="1"/>
    <col min="6952" max="7173" width="11.42578125" style="1290"/>
    <col min="7174" max="7174" width="17.5703125" style="1290" customWidth="1"/>
    <col min="7175" max="7185" width="11.28515625" style="1290" customWidth="1"/>
    <col min="7186" max="7186" width="0" style="1290" hidden="1" customWidth="1"/>
    <col min="7187" max="7187" width="8.85546875" style="1290" customWidth="1"/>
    <col min="7188" max="7188" width="15.140625" style="1290" customWidth="1"/>
    <col min="7189" max="7203" width="11.42578125" style="1290"/>
    <col min="7204" max="7206" width="14.28515625" style="1290" customWidth="1"/>
    <col min="7207" max="7207" width="15.28515625" style="1290" customWidth="1"/>
    <col min="7208" max="7429" width="11.42578125" style="1290"/>
    <col min="7430" max="7430" width="17.5703125" style="1290" customWidth="1"/>
    <col min="7431" max="7441" width="11.28515625" style="1290" customWidth="1"/>
    <col min="7442" max="7442" width="0" style="1290" hidden="1" customWidth="1"/>
    <col min="7443" max="7443" width="8.85546875" style="1290" customWidth="1"/>
    <col min="7444" max="7444" width="15.140625" style="1290" customWidth="1"/>
    <col min="7445" max="7459" width="11.42578125" style="1290"/>
    <col min="7460" max="7462" width="14.28515625" style="1290" customWidth="1"/>
    <col min="7463" max="7463" width="15.28515625" style="1290" customWidth="1"/>
    <col min="7464" max="7685" width="11.42578125" style="1290"/>
    <col min="7686" max="7686" width="17.5703125" style="1290" customWidth="1"/>
    <col min="7687" max="7697" width="11.28515625" style="1290" customWidth="1"/>
    <col min="7698" max="7698" width="0" style="1290" hidden="1" customWidth="1"/>
    <col min="7699" max="7699" width="8.85546875" style="1290" customWidth="1"/>
    <col min="7700" max="7700" width="15.140625" style="1290" customWidth="1"/>
    <col min="7701" max="7715" width="11.42578125" style="1290"/>
    <col min="7716" max="7718" width="14.28515625" style="1290" customWidth="1"/>
    <col min="7719" max="7719" width="15.28515625" style="1290" customWidth="1"/>
    <col min="7720" max="7941" width="11.42578125" style="1290"/>
    <col min="7942" max="7942" width="17.5703125" style="1290" customWidth="1"/>
    <col min="7943" max="7953" width="11.28515625" style="1290" customWidth="1"/>
    <col min="7954" max="7954" width="0" style="1290" hidden="1" customWidth="1"/>
    <col min="7955" max="7955" width="8.85546875" style="1290" customWidth="1"/>
    <col min="7956" max="7956" width="15.140625" style="1290" customWidth="1"/>
    <col min="7957" max="7971" width="11.42578125" style="1290"/>
    <col min="7972" max="7974" width="14.28515625" style="1290" customWidth="1"/>
    <col min="7975" max="7975" width="15.28515625" style="1290" customWidth="1"/>
    <col min="7976" max="8197" width="11.42578125" style="1290"/>
    <col min="8198" max="8198" width="17.5703125" style="1290" customWidth="1"/>
    <col min="8199" max="8209" width="11.28515625" style="1290" customWidth="1"/>
    <col min="8210" max="8210" width="0" style="1290" hidden="1" customWidth="1"/>
    <col min="8211" max="8211" width="8.85546875" style="1290" customWidth="1"/>
    <col min="8212" max="8212" width="15.140625" style="1290" customWidth="1"/>
    <col min="8213" max="8227" width="11.42578125" style="1290"/>
    <col min="8228" max="8230" width="14.28515625" style="1290" customWidth="1"/>
    <col min="8231" max="8231" width="15.28515625" style="1290" customWidth="1"/>
    <col min="8232" max="8453" width="11.42578125" style="1290"/>
    <col min="8454" max="8454" width="17.5703125" style="1290" customWidth="1"/>
    <col min="8455" max="8465" width="11.28515625" style="1290" customWidth="1"/>
    <col min="8466" max="8466" width="0" style="1290" hidden="1" customWidth="1"/>
    <col min="8467" max="8467" width="8.85546875" style="1290" customWidth="1"/>
    <col min="8468" max="8468" width="15.140625" style="1290" customWidth="1"/>
    <col min="8469" max="8483" width="11.42578125" style="1290"/>
    <col min="8484" max="8486" width="14.28515625" style="1290" customWidth="1"/>
    <col min="8487" max="8487" width="15.28515625" style="1290" customWidth="1"/>
    <col min="8488" max="8709" width="11.42578125" style="1290"/>
    <col min="8710" max="8710" width="17.5703125" style="1290" customWidth="1"/>
    <col min="8711" max="8721" width="11.28515625" style="1290" customWidth="1"/>
    <col min="8722" max="8722" width="0" style="1290" hidden="1" customWidth="1"/>
    <col min="8723" max="8723" width="8.85546875" style="1290" customWidth="1"/>
    <col min="8724" max="8724" width="15.140625" style="1290" customWidth="1"/>
    <col min="8725" max="8739" width="11.42578125" style="1290"/>
    <col min="8740" max="8742" width="14.28515625" style="1290" customWidth="1"/>
    <col min="8743" max="8743" width="15.28515625" style="1290" customWidth="1"/>
    <col min="8744" max="8965" width="11.42578125" style="1290"/>
    <col min="8966" max="8966" width="17.5703125" style="1290" customWidth="1"/>
    <col min="8967" max="8977" width="11.28515625" style="1290" customWidth="1"/>
    <col min="8978" max="8978" width="0" style="1290" hidden="1" customWidth="1"/>
    <col min="8979" max="8979" width="8.85546875" style="1290" customWidth="1"/>
    <col min="8980" max="8980" width="15.140625" style="1290" customWidth="1"/>
    <col min="8981" max="8995" width="11.42578125" style="1290"/>
    <col min="8996" max="8998" width="14.28515625" style="1290" customWidth="1"/>
    <col min="8999" max="8999" width="15.28515625" style="1290" customWidth="1"/>
    <col min="9000" max="9221" width="11.42578125" style="1290"/>
    <col min="9222" max="9222" width="17.5703125" style="1290" customWidth="1"/>
    <col min="9223" max="9233" width="11.28515625" style="1290" customWidth="1"/>
    <col min="9234" max="9234" width="0" style="1290" hidden="1" customWidth="1"/>
    <col min="9235" max="9235" width="8.85546875" style="1290" customWidth="1"/>
    <col min="9236" max="9236" width="15.140625" style="1290" customWidth="1"/>
    <col min="9237" max="9251" width="11.42578125" style="1290"/>
    <col min="9252" max="9254" width="14.28515625" style="1290" customWidth="1"/>
    <col min="9255" max="9255" width="15.28515625" style="1290" customWidth="1"/>
    <col min="9256" max="9477" width="11.42578125" style="1290"/>
    <col min="9478" max="9478" width="17.5703125" style="1290" customWidth="1"/>
    <col min="9479" max="9489" width="11.28515625" style="1290" customWidth="1"/>
    <col min="9490" max="9490" width="0" style="1290" hidden="1" customWidth="1"/>
    <col min="9491" max="9491" width="8.85546875" style="1290" customWidth="1"/>
    <col min="9492" max="9492" width="15.140625" style="1290" customWidth="1"/>
    <col min="9493" max="9507" width="11.42578125" style="1290"/>
    <col min="9508" max="9510" width="14.28515625" style="1290" customWidth="1"/>
    <col min="9511" max="9511" width="15.28515625" style="1290" customWidth="1"/>
    <col min="9512" max="9733" width="11.42578125" style="1290"/>
    <col min="9734" max="9734" width="17.5703125" style="1290" customWidth="1"/>
    <col min="9735" max="9745" width="11.28515625" style="1290" customWidth="1"/>
    <col min="9746" max="9746" width="0" style="1290" hidden="1" customWidth="1"/>
    <col min="9747" max="9747" width="8.85546875" style="1290" customWidth="1"/>
    <col min="9748" max="9748" width="15.140625" style="1290" customWidth="1"/>
    <col min="9749" max="9763" width="11.42578125" style="1290"/>
    <col min="9764" max="9766" width="14.28515625" style="1290" customWidth="1"/>
    <col min="9767" max="9767" width="15.28515625" style="1290" customWidth="1"/>
    <col min="9768" max="9989" width="11.42578125" style="1290"/>
    <col min="9990" max="9990" width="17.5703125" style="1290" customWidth="1"/>
    <col min="9991" max="10001" width="11.28515625" style="1290" customWidth="1"/>
    <col min="10002" max="10002" width="0" style="1290" hidden="1" customWidth="1"/>
    <col min="10003" max="10003" width="8.85546875" style="1290" customWidth="1"/>
    <col min="10004" max="10004" width="15.140625" style="1290" customWidth="1"/>
    <col min="10005" max="10019" width="11.42578125" style="1290"/>
    <col min="10020" max="10022" width="14.28515625" style="1290" customWidth="1"/>
    <col min="10023" max="10023" width="15.28515625" style="1290" customWidth="1"/>
    <col min="10024" max="10245" width="11.42578125" style="1290"/>
    <col min="10246" max="10246" width="17.5703125" style="1290" customWidth="1"/>
    <col min="10247" max="10257" width="11.28515625" style="1290" customWidth="1"/>
    <col min="10258" max="10258" width="0" style="1290" hidden="1" customWidth="1"/>
    <col min="10259" max="10259" width="8.85546875" style="1290" customWidth="1"/>
    <col min="10260" max="10260" width="15.140625" style="1290" customWidth="1"/>
    <col min="10261" max="10275" width="11.42578125" style="1290"/>
    <col min="10276" max="10278" width="14.28515625" style="1290" customWidth="1"/>
    <col min="10279" max="10279" width="15.28515625" style="1290" customWidth="1"/>
    <col min="10280" max="10501" width="11.42578125" style="1290"/>
    <col min="10502" max="10502" width="17.5703125" style="1290" customWidth="1"/>
    <col min="10503" max="10513" width="11.28515625" style="1290" customWidth="1"/>
    <col min="10514" max="10514" width="0" style="1290" hidden="1" customWidth="1"/>
    <col min="10515" max="10515" width="8.85546875" style="1290" customWidth="1"/>
    <col min="10516" max="10516" width="15.140625" style="1290" customWidth="1"/>
    <col min="10517" max="10531" width="11.42578125" style="1290"/>
    <col min="10532" max="10534" width="14.28515625" style="1290" customWidth="1"/>
    <col min="10535" max="10535" width="15.28515625" style="1290" customWidth="1"/>
    <col min="10536" max="10757" width="11.42578125" style="1290"/>
    <col min="10758" max="10758" width="17.5703125" style="1290" customWidth="1"/>
    <col min="10759" max="10769" width="11.28515625" style="1290" customWidth="1"/>
    <col min="10770" max="10770" width="0" style="1290" hidden="1" customWidth="1"/>
    <col min="10771" max="10771" width="8.85546875" style="1290" customWidth="1"/>
    <col min="10772" max="10772" width="15.140625" style="1290" customWidth="1"/>
    <col min="10773" max="10787" width="11.42578125" style="1290"/>
    <col min="10788" max="10790" width="14.28515625" style="1290" customWidth="1"/>
    <col min="10791" max="10791" width="15.28515625" style="1290" customWidth="1"/>
    <col min="10792" max="11013" width="11.42578125" style="1290"/>
    <col min="11014" max="11014" width="17.5703125" style="1290" customWidth="1"/>
    <col min="11015" max="11025" width="11.28515625" style="1290" customWidth="1"/>
    <col min="11026" max="11026" width="0" style="1290" hidden="1" customWidth="1"/>
    <col min="11027" max="11027" width="8.85546875" style="1290" customWidth="1"/>
    <col min="11028" max="11028" width="15.140625" style="1290" customWidth="1"/>
    <col min="11029" max="11043" width="11.42578125" style="1290"/>
    <col min="11044" max="11046" width="14.28515625" style="1290" customWidth="1"/>
    <col min="11047" max="11047" width="15.28515625" style="1290" customWidth="1"/>
    <col min="11048" max="11269" width="11.42578125" style="1290"/>
    <col min="11270" max="11270" width="17.5703125" style="1290" customWidth="1"/>
    <col min="11271" max="11281" width="11.28515625" style="1290" customWidth="1"/>
    <col min="11282" max="11282" width="0" style="1290" hidden="1" customWidth="1"/>
    <col min="11283" max="11283" width="8.85546875" style="1290" customWidth="1"/>
    <col min="11284" max="11284" width="15.140625" style="1290" customWidth="1"/>
    <col min="11285" max="11299" width="11.42578125" style="1290"/>
    <col min="11300" max="11302" width="14.28515625" style="1290" customWidth="1"/>
    <col min="11303" max="11303" width="15.28515625" style="1290" customWidth="1"/>
    <col min="11304" max="11525" width="11.42578125" style="1290"/>
    <col min="11526" max="11526" width="17.5703125" style="1290" customWidth="1"/>
    <col min="11527" max="11537" width="11.28515625" style="1290" customWidth="1"/>
    <col min="11538" max="11538" width="0" style="1290" hidden="1" customWidth="1"/>
    <col min="11539" max="11539" width="8.85546875" style="1290" customWidth="1"/>
    <col min="11540" max="11540" width="15.140625" style="1290" customWidth="1"/>
    <col min="11541" max="11555" width="11.42578125" style="1290"/>
    <col min="11556" max="11558" width="14.28515625" style="1290" customWidth="1"/>
    <col min="11559" max="11559" width="15.28515625" style="1290" customWidth="1"/>
    <col min="11560" max="11781" width="11.42578125" style="1290"/>
    <col min="11782" max="11782" width="17.5703125" style="1290" customWidth="1"/>
    <col min="11783" max="11793" width="11.28515625" style="1290" customWidth="1"/>
    <col min="11794" max="11794" width="0" style="1290" hidden="1" customWidth="1"/>
    <col min="11795" max="11795" width="8.85546875" style="1290" customWidth="1"/>
    <col min="11796" max="11796" width="15.140625" style="1290" customWidth="1"/>
    <col min="11797" max="11811" width="11.42578125" style="1290"/>
    <col min="11812" max="11814" width="14.28515625" style="1290" customWidth="1"/>
    <col min="11815" max="11815" width="15.28515625" style="1290" customWidth="1"/>
    <col min="11816" max="12037" width="11.42578125" style="1290"/>
    <col min="12038" max="12038" width="17.5703125" style="1290" customWidth="1"/>
    <col min="12039" max="12049" width="11.28515625" style="1290" customWidth="1"/>
    <col min="12050" max="12050" width="0" style="1290" hidden="1" customWidth="1"/>
    <col min="12051" max="12051" width="8.85546875" style="1290" customWidth="1"/>
    <col min="12052" max="12052" width="15.140625" style="1290" customWidth="1"/>
    <col min="12053" max="12067" width="11.42578125" style="1290"/>
    <col min="12068" max="12070" width="14.28515625" style="1290" customWidth="1"/>
    <col min="12071" max="12071" width="15.28515625" style="1290" customWidth="1"/>
    <col min="12072" max="12293" width="11.42578125" style="1290"/>
    <col min="12294" max="12294" width="17.5703125" style="1290" customWidth="1"/>
    <col min="12295" max="12305" width="11.28515625" style="1290" customWidth="1"/>
    <col min="12306" max="12306" width="0" style="1290" hidden="1" customWidth="1"/>
    <col min="12307" max="12307" width="8.85546875" style="1290" customWidth="1"/>
    <col min="12308" max="12308" width="15.140625" style="1290" customWidth="1"/>
    <col min="12309" max="12323" width="11.42578125" style="1290"/>
    <col min="12324" max="12326" width="14.28515625" style="1290" customWidth="1"/>
    <col min="12327" max="12327" width="15.28515625" style="1290" customWidth="1"/>
    <col min="12328" max="12549" width="11.42578125" style="1290"/>
    <col min="12550" max="12550" width="17.5703125" style="1290" customWidth="1"/>
    <col min="12551" max="12561" width="11.28515625" style="1290" customWidth="1"/>
    <col min="12562" max="12562" width="0" style="1290" hidden="1" customWidth="1"/>
    <col min="12563" max="12563" width="8.85546875" style="1290" customWidth="1"/>
    <col min="12564" max="12564" width="15.140625" style="1290" customWidth="1"/>
    <col min="12565" max="12579" width="11.42578125" style="1290"/>
    <col min="12580" max="12582" width="14.28515625" style="1290" customWidth="1"/>
    <col min="12583" max="12583" width="15.28515625" style="1290" customWidth="1"/>
    <col min="12584" max="12805" width="11.42578125" style="1290"/>
    <col min="12806" max="12806" width="17.5703125" style="1290" customWidth="1"/>
    <col min="12807" max="12817" width="11.28515625" style="1290" customWidth="1"/>
    <col min="12818" max="12818" width="0" style="1290" hidden="1" customWidth="1"/>
    <col min="12819" max="12819" width="8.85546875" style="1290" customWidth="1"/>
    <col min="12820" max="12820" width="15.140625" style="1290" customWidth="1"/>
    <col min="12821" max="12835" width="11.42578125" style="1290"/>
    <col min="12836" max="12838" width="14.28515625" style="1290" customWidth="1"/>
    <col min="12839" max="12839" width="15.28515625" style="1290" customWidth="1"/>
    <col min="12840" max="13061" width="11.42578125" style="1290"/>
    <col min="13062" max="13062" width="17.5703125" style="1290" customWidth="1"/>
    <col min="13063" max="13073" width="11.28515625" style="1290" customWidth="1"/>
    <col min="13074" max="13074" width="0" style="1290" hidden="1" customWidth="1"/>
    <col min="13075" max="13075" width="8.85546875" style="1290" customWidth="1"/>
    <col min="13076" max="13076" width="15.140625" style="1290" customWidth="1"/>
    <col min="13077" max="13091" width="11.42578125" style="1290"/>
    <col min="13092" max="13094" width="14.28515625" style="1290" customWidth="1"/>
    <col min="13095" max="13095" width="15.28515625" style="1290" customWidth="1"/>
    <col min="13096" max="13317" width="11.42578125" style="1290"/>
    <col min="13318" max="13318" width="17.5703125" style="1290" customWidth="1"/>
    <col min="13319" max="13329" width="11.28515625" style="1290" customWidth="1"/>
    <col min="13330" max="13330" width="0" style="1290" hidden="1" customWidth="1"/>
    <col min="13331" max="13331" width="8.85546875" style="1290" customWidth="1"/>
    <col min="13332" max="13332" width="15.140625" style="1290" customWidth="1"/>
    <col min="13333" max="13347" width="11.42578125" style="1290"/>
    <col min="13348" max="13350" width="14.28515625" style="1290" customWidth="1"/>
    <col min="13351" max="13351" width="15.28515625" style="1290" customWidth="1"/>
    <col min="13352" max="13573" width="11.42578125" style="1290"/>
    <col min="13574" max="13574" width="17.5703125" style="1290" customWidth="1"/>
    <col min="13575" max="13585" width="11.28515625" style="1290" customWidth="1"/>
    <col min="13586" max="13586" width="0" style="1290" hidden="1" customWidth="1"/>
    <col min="13587" max="13587" width="8.85546875" style="1290" customWidth="1"/>
    <col min="13588" max="13588" width="15.140625" style="1290" customWidth="1"/>
    <col min="13589" max="13603" width="11.42578125" style="1290"/>
    <col min="13604" max="13606" width="14.28515625" style="1290" customWidth="1"/>
    <col min="13607" max="13607" width="15.28515625" style="1290" customWidth="1"/>
    <col min="13608" max="13829" width="11.42578125" style="1290"/>
    <col min="13830" max="13830" width="17.5703125" style="1290" customWidth="1"/>
    <col min="13831" max="13841" width="11.28515625" style="1290" customWidth="1"/>
    <col min="13842" max="13842" width="0" style="1290" hidden="1" customWidth="1"/>
    <col min="13843" max="13843" width="8.85546875" style="1290" customWidth="1"/>
    <col min="13844" max="13844" width="15.140625" style="1290" customWidth="1"/>
    <col min="13845" max="13859" width="11.42578125" style="1290"/>
    <col min="13860" max="13862" width="14.28515625" style="1290" customWidth="1"/>
    <col min="13863" max="13863" width="15.28515625" style="1290" customWidth="1"/>
    <col min="13864" max="14085" width="11.42578125" style="1290"/>
    <col min="14086" max="14086" width="17.5703125" style="1290" customWidth="1"/>
    <col min="14087" max="14097" width="11.28515625" style="1290" customWidth="1"/>
    <col min="14098" max="14098" width="0" style="1290" hidden="1" customWidth="1"/>
    <col min="14099" max="14099" width="8.85546875" style="1290" customWidth="1"/>
    <col min="14100" max="14100" width="15.140625" style="1290" customWidth="1"/>
    <col min="14101" max="14115" width="11.42578125" style="1290"/>
    <col min="14116" max="14118" width="14.28515625" style="1290" customWidth="1"/>
    <col min="14119" max="14119" width="15.28515625" style="1290" customWidth="1"/>
    <col min="14120" max="14341" width="11.42578125" style="1290"/>
    <col min="14342" max="14342" width="17.5703125" style="1290" customWidth="1"/>
    <col min="14343" max="14353" width="11.28515625" style="1290" customWidth="1"/>
    <col min="14354" max="14354" width="0" style="1290" hidden="1" customWidth="1"/>
    <col min="14355" max="14355" width="8.85546875" style="1290" customWidth="1"/>
    <col min="14356" max="14356" width="15.140625" style="1290" customWidth="1"/>
    <col min="14357" max="14371" width="11.42578125" style="1290"/>
    <col min="14372" max="14374" width="14.28515625" style="1290" customWidth="1"/>
    <col min="14375" max="14375" width="15.28515625" style="1290" customWidth="1"/>
    <col min="14376" max="14597" width="11.42578125" style="1290"/>
    <col min="14598" max="14598" width="17.5703125" style="1290" customWidth="1"/>
    <col min="14599" max="14609" width="11.28515625" style="1290" customWidth="1"/>
    <col min="14610" max="14610" width="0" style="1290" hidden="1" customWidth="1"/>
    <col min="14611" max="14611" width="8.85546875" style="1290" customWidth="1"/>
    <col min="14612" max="14612" width="15.140625" style="1290" customWidth="1"/>
    <col min="14613" max="14627" width="11.42578125" style="1290"/>
    <col min="14628" max="14630" width="14.28515625" style="1290" customWidth="1"/>
    <col min="14631" max="14631" width="15.28515625" style="1290" customWidth="1"/>
    <col min="14632" max="14853" width="11.42578125" style="1290"/>
    <col min="14854" max="14854" width="17.5703125" style="1290" customWidth="1"/>
    <col min="14855" max="14865" width="11.28515625" style="1290" customWidth="1"/>
    <col min="14866" max="14866" width="0" style="1290" hidden="1" customWidth="1"/>
    <col min="14867" max="14867" width="8.85546875" style="1290" customWidth="1"/>
    <col min="14868" max="14868" width="15.140625" style="1290" customWidth="1"/>
    <col min="14869" max="14883" width="11.42578125" style="1290"/>
    <col min="14884" max="14886" width="14.28515625" style="1290" customWidth="1"/>
    <col min="14887" max="14887" width="15.28515625" style="1290" customWidth="1"/>
    <col min="14888" max="15109" width="11.42578125" style="1290"/>
    <col min="15110" max="15110" width="17.5703125" style="1290" customWidth="1"/>
    <col min="15111" max="15121" width="11.28515625" style="1290" customWidth="1"/>
    <col min="15122" max="15122" width="0" style="1290" hidden="1" customWidth="1"/>
    <col min="15123" max="15123" width="8.85546875" style="1290" customWidth="1"/>
    <col min="15124" max="15124" width="15.140625" style="1290" customWidth="1"/>
    <col min="15125" max="15139" width="11.42578125" style="1290"/>
    <col min="15140" max="15142" width="14.28515625" style="1290" customWidth="1"/>
    <col min="15143" max="15143" width="15.28515625" style="1290" customWidth="1"/>
    <col min="15144" max="15365" width="11.42578125" style="1290"/>
    <col min="15366" max="15366" width="17.5703125" style="1290" customWidth="1"/>
    <col min="15367" max="15377" width="11.28515625" style="1290" customWidth="1"/>
    <col min="15378" max="15378" width="0" style="1290" hidden="1" customWidth="1"/>
    <col min="15379" max="15379" width="8.85546875" style="1290" customWidth="1"/>
    <col min="15380" max="15380" width="15.140625" style="1290" customWidth="1"/>
    <col min="15381" max="15395" width="11.42578125" style="1290"/>
    <col min="15396" max="15398" width="14.28515625" style="1290" customWidth="1"/>
    <col min="15399" max="15399" width="15.28515625" style="1290" customWidth="1"/>
    <col min="15400" max="15621" width="11.42578125" style="1290"/>
    <col min="15622" max="15622" width="17.5703125" style="1290" customWidth="1"/>
    <col min="15623" max="15633" width="11.28515625" style="1290" customWidth="1"/>
    <col min="15634" max="15634" width="0" style="1290" hidden="1" customWidth="1"/>
    <col min="15635" max="15635" width="8.85546875" style="1290" customWidth="1"/>
    <col min="15636" max="15636" width="15.140625" style="1290" customWidth="1"/>
    <col min="15637" max="15651" width="11.42578125" style="1290"/>
    <col min="15652" max="15654" width="14.28515625" style="1290" customWidth="1"/>
    <col min="15655" max="15655" width="15.28515625" style="1290" customWidth="1"/>
    <col min="15656" max="15877" width="11.42578125" style="1290"/>
    <col min="15878" max="15878" width="17.5703125" style="1290" customWidth="1"/>
    <col min="15879" max="15889" width="11.28515625" style="1290" customWidth="1"/>
    <col min="15890" max="15890" width="0" style="1290" hidden="1" customWidth="1"/>
    <col min="15891" max="15891" width="8.85546875" style="1290" customWidth="1"/>
    <col min="15892" max="15892" width="15.140625" style="1290" customWidth="1"/>
    <col min="15893" max="15907" width="11.42578125" style="1290"/>
    <col min="15908" max="15910" width="14.28515625" style="1290" customWidth="1"/>
    <col min="15911" max="15911" width="15.28515625" style="1290" customWidth="1"/>
    <col min="15912" max="16133" width="11.42578125" style="1290"/>
    <col min="16134" max="16134" width="17.5703125" style="1290" customWidth="1"/>
    <col min="16135" max="16145" width="11.28515625" style="1290" customWidth="1"/>
    <col min="16146" max="16146" width="0" style="1290" hidden="1" customWidth="1"/>
    <col min="16147" max="16147" width="8.85546875" style="1290" customWidth="1"/>
    <col min="16148" max="16148" width="15.140625" style="1290" customWidth="1"/>
    <col min="16149" max="16163" width="11.42578125" style="1290"/>
    <col min="16164" max="16166" width="14.28515625" style="1290" customWidth="1"/>
    <col min="16167" max="16167" width="15.28515625" style="1290" customWidth="1"/>
    <col min="16168" max="16384" width="11.42578125" style="1290"/>
  </cols>
  <sheetData>
    <row r="4" spans="1:28" ht="22.5" hidden="1" customHeight="1" thickBot="1" x14ac:dyDescent="0.25">
      <c r="A4" s="2576" t="s">
        <v>221</v>
      </c>
      <c r="B4" s="2577"/>
      <c r="C4" s="2577"/>
      <c r="D4" s="2577"/>
      <c r="E4" s="2577"/>
      <c r="F4" s="2577"/>
      <c r="G4" s="2577"/>
      <c r="H4" s="2578"/>
      <c r="I4" s="468"/>
      <c r="J4" s="468"/>
      <c r="K4" s="468"/>
      <c r="L4" s="468"/>
      <c r="M4" s="468"/>
      <c r="N4" s="468"/>
      <c r="O4" s="468"/>
      <c r="P4" s="468"/>
      <c r="Q4" s="468"/>
      <c r="R4" s="468"/>
      <c r="S4" s="468"/>
      <c r="T4" s="469"/>
      <c r="U4" s="793"/>
      <c r="V4" s="793"/>
      <c r="W4" s="794"/>
      <c r="X4" s="469"/>
      <c r="Y4" s="469"/>
      <c r="Z4" s="469"/>
      <c r="AA4" s="469"/>
      <c r="AB4" s="469"/>
    </row>
    <row r="5" spans="1:28" ht="17.25" hidden="1" customHeight="1" x14ac:dyDescent="0.2">
      <c r="A5" s="2579" t="s">
        <v>79</v>
      </c>
      <c r="B5" s="2579" t="s">
        <v>222</v>
      </c>
      <c r="C5" s="2579"/>
      <c r="D5" s="2579"/>
      <c r="E5" s="2579" t="s">
        <v>223</v>
      </c>
      <c r="F5" s="2579"/>
      <c r="G5" s="2581" t="s">
        <v>224</v>
      </c>
      <c r="H5" s="2581"/>
      <c r="I5" s="470"/>
      <c r="J5" s="470"/>
      <c r="K5" s="470"/>
      <c r="L5" s="470"/>
      <c r="M5" s="470"/>
      <c r="N5" s="470"/>
      <c r="O5" s="470"/>
      <c r="P5" s="470"/>
      <c r="Q5" s="470"/>
      <c r="R5" s="470"/>
      <c r="S5" s="470"/>
      <c r="T5" s="471"/>
      <c r="U5" s="795"/>
      <c r="V5" s="795"/>
      <c r="W5" s="796"/>
      <c r="X5" s="471"/>
      <c r="Y5" s="471"/>
      <c r="Z5" s="471"/>
      <c r="AA5" s="471"/>
    </row>
    <row r="6" spans="1:28" ht="15.75" hidden="1" customHeight="1" x14ac:dyDescent="0.2">
      <c r="A6" s="2580"/>
      <c r="B6" s="2580"/>
      <c r="C6" s="2580"/>
      <c r="D6" s="2580"/>
      <c r="E6" s="2580"/>
      <c r="F6" s="2580"/>
      <c r="G6" s="472" t="s">
        <v>225</v>
      </c>
      <c r="H6" s="472" t="s">
        <v>226</v>
      </c>
      <c r="I6" s="470"/>
      <c r="J6" s="470"/>
      <c r="K6" s="470"/>
      <c r="L6" s="470"/>
      <c r="M6" s="470"/>
      <c r="N6" s="470"/>
      <c r="O6" s="470"/>
      <c r="P6" s="470"/>
      <c r="Q6" s="470"/>
      <c r="R6" s="470"/>
      <c r="S6" s="470"/>
    </row>
    <row r="7" spans="1:28" ht="107.25" hidden="1" customHeight="1" x14ac:dyDescent="0.2">
      <c r="A7" s="2582" t="s">
        <v>185</v>
      </c>
      <c r="B7" s="2583" t="s">
        <v>227</v>
      </c>
      <c r="C7" s="2584"/>
      <c r="D7" s="2585"/>
      <c r="E7" s="2574" t="s">
        <v>228</v>
      </c>
      <c r="F7" s="2575"/>
      <c r="G7" s="1293" t="s">
        <v>229</v>
      </c>
      <c r="H7" s="1294" t="s">
        <v>230</v>
      </c>
      <c r="I7" s="1295"/>
      <c r="J7" s="1295"/>
      <c r="K7" s="1295"/>
      <c r="L7" s="1295"/>
      <c r="M7" s="1295"/>
      <c r="N7" s="1295"/>
      <c r="O7" s="1295"/>
      <c r="P7" s="1295"/>
      <c r="Q7" s="1295"/>
      <c r="R7" s="1295"/>
      <c r="S7" s="1295"/>
    </row>
    <row r="8" spans="1:28" ht="343.5" hidden="1" customHeight="1" x14ac:dyDescent="0.2">
      <c r="A8" s="2582"/>
      <c r="B8" s="2583" t="s">
        <v>231</v>
      </c>
      <c r="C8" s="2584"/>
      <c r="D8" s="2585"/>
      <c r="E8" s="2574" t="s">
        <v>232</v>
      </c>
      <c r="F8" s="2575"/>
      <c r="G8" s="1294" t="s">
        <v>233</v>
      </c>
      <c r="H8" s="1294" t="s">
        <v>234</v>
      </c>
      <c r="I8" s="1295"/>
      <c r="J8" s="1295"/>
      <c r="K8" s="1295"/>
      <c r="L8" s="1295"/>
      <c r="M8" s="1295"/>
      <c r="N8" s="1295"/>
      <c r="O8" s="1295"/>
      <c r="P8" s="1295"/>
      <c r="Q8" s="1295"/>
      <c r="R8" s="1295"/>
      <c r="S8" s="1295"/>
    </row>
    <row r="9" spans="1:28" ht="129.75" hidden="1" customHeight="1" x14ac:dyDescent="0.2">
      <c r="A9" s="1296" t="s">
        <v>83</v>
      </c>
      <c r="B9" s="2583" t="s">
        <v>235</v>
      </c>
      <c r="C9" s="2584"/>
      <c r="D9" s="2585"/>
      <c r="E9" s="2574" t="s">
        <v>236</v>
      </c>
      <c r="F9" s="2575"/>
      <c r="G9" s="542" t="s">
        <v>237</v>
      </c>
      <c r="H9" s="1294" t="s">
        <v>238</v>
      </c>
      <c r="I9" s="1295"/>
      <c r="J9" s="1295"/>
      <c r="K9" s="1295"/>
      <c r="L9" s="1295"/>
      <c r="M9" s="1295"/>
      <c r="N9" s="1295"/>
      <c r="O9" s="1295"/>
      <c r="P9" s="1295"/>
      <c r="Q9" s="1295"/>
      <c r="R9" s="1295"/>
      <c r="S9" s="1295"/>
    </row>
    <row r="10" spans="1:28" ht="126" hidden="1" customHeight="1" x14ac:dyDescent="0.2">
      <c r="A10" s="1296" t="s">
        <v>86</v>
      </c>
      <c r="B10" s="2583" t="s">
        <v>239</v>
      </c>
      <c r="C10" s="2584"/>
      <c r="D10" s="2585"/>
      <c r="E10" s="2574" t="s">
        <v>240</v>
      </c>
      <c r="F10" s="2575"/>
      <c r="G10" s="1294" t="s">
        <v>241</v>
      </c>
      <c r="H10" s="1294" t="s">
        <v>242</v>
      </c>
      <c r="I10" s="1295"/>
      <c r="J10" s="1295"/>
      <c r="K10" s="1295"/>
      <c r="L10" s="1295"/>
      <c r="M10" s="1295"/>
      <c r="N10" s="1295"/>
      <c r="O10" s="1295"/>
      <c r="P10" s="1295"/>
      <c r="Q10" s="1295"/>
      <c r="R10" s="1295"/>
      <c r="S10" s="1295"/>
    </row>
    <row r="11" spans="1:28" ht="192.75" hidden="1" customHeight="1" x14ac:dyDescent="0.2">
      <c r="A11" s="1296" t="s">
        <v>84</v>
      </c>
      <c r="B11" s="2583" t="s">
        <v>243</v>
      </c>
      <c r="C11" s="2584"/>
      <c r="D11" s="2585"/>
      <c r="E11" s="2574" t="s">
        <v>244</v>
      </c>
      <c r="F11" s="2575"/>
      <c r="G11" s="1294" t="s">
        <v>245</v>
      </c>
      <c r="H11" s="1294" t="s">
        <v>242</v>
      </c>
      <c r="I11" s="1295"/>
      <c r="J11" s="1295"/>
      <c r="K11" s="1295"/>
      <c r="L11" s="1295"/>
      <c r="M11" s="1295"/>
      <c r="N11" s="1295"/>
      <c r="O11" s="1295"/>
      <c r="P11" s="1295"/>
      <c r="Q11" s="1295"/>
      <c r="R11" s="1295"/>
      <c r="S11" s="1295"/>
    </row>
    <row r="12" spans="1:28" ht="56.25" hidden="1" customHeight="1" x14ac:dyDescent="0.2">
      <c r="A12" s="2590" t="s">
        <v>85</v>
      </c>
      <c r="B12" s="2583" t="s">
        <v>246</v>
      </c>
      <c r="C12" s="2584"/>
      <c r="D12" s="2585"/>
      <c r="E12" s="2574" t="s">
        <v>247</v>
      </c>
      <c r="F12" s="2575"/>
      <c r="G12" s="1294" t="s">
        <v>248</v>
      </c>
      <c r="H12" s="2591" t="s">
        <v>249</v>
      </c>
      <c r="I12" s="1297"/>
      <c r="J12" s="1297"/>
      <c r="K12" s="1297"/>
      <c r="L12" s="1297"/>
      <c r="M12" s="1297"/>
      <c r="N12" s="1297"/>
      <c r="O12" s="1297"/>
      <c r="P12" s="1297"/>
      <c r="Q12" s="1297"/>
      <c r="R12" s="1297"/>
      <c r="S12" s="1297"/>
    </row>
    <row r="13" spans="1:28" ht="61.5" hidden="1" customHeight="1" x14ac:dyDescent="0.2">
      <c r="A13" s="2590"/>
      <c r="B13" s="2583" t="s">
        <v>250</v>
      </c>
      <c r="C13" s="2584"/>
      <c r="D13" s="2585"/>
      <c r="E13" s="2574" t="s">
        <v>251</v>
      </c>
      <c r="F13" s="2575"/>
      <c r="G13" s="542" t="s">
        <v>252</v>
      </c>
      <c r="H13" s="2592"/>
      <c r="I13" s="1297"/>
      <c r="J13" s="1297"/>
      <c r="K13" s="1297"/>
      <c r="L13" s="1297"/>
      <c r="M13" s="1297"/>
      <c r="N13" s="1297"/>
      <c r="O13" s="1297"/>
      <c r="P13" s="1297"/>
      <c r="Q13" s="1297"/>
      <c r="R13" s="1297"/>
      <c r="S13" s="1297"/>
    </row>
    <row r="14" spans="1:28" ht="57.75" hidden="1" customHeight="1" x14ac:dyDescent="0.2">
      <c r="A14" s="2590"/>
      <c r="B14" s="2583" t="s">
        <v>253</v>
      </c>
      <c r="C14" s="2584"/>
      <c r="D14" s="2585"/>
      <c r="E14" s="2574" t="s">
        <v>247</v>
      </c>
      <c r="F14" s="2575"/>
      <c r="G14" s="542" t="s">
        <v>252</v>
      </c>
      <c r="H14" s="2593"/>
      <c r="I14" s="1297"/>
      <c r="J14" s="1297"/>
      <c r="K14" s="1297"/>
      <c r="L14" s="1297"/>
      <c r="M14" s="1297"/>
      <c r="N14" s="1297"/>
      <c r="O14" s="1297"/>
      <c r="P14" s="1297"/>
      <c r="Q14" s="1297"/>
      <c r="R14" s="1297"/>
      <c r="S14" s="1297"/>
    </row>
    <row r="15" spans="1:28" ht="13.5" thickBot="1" x14ac:dyDescent="0.25"/>
    <row r="16" spans="1:28" ht="36" customHeight="1" thickBot="1" x14ac:dyDescent="0.25">
      <c r="A16" s="2594" t="s">
        <v>1004</v>
      </c>
      <c r="B16" s="2595"/>
      <c r="C16" s="2595"/>
      <c r="D16" s="2595"/>
      <c r="E16" s="2595"/>
      <c r="F16" s="2595"/>
      <c r="G16" s="2595"/>
      <c r="H16" s="2595"/>
      <c r="I16" s="2595"/>
      <c r="J16" s="2595"/>
      <c r="K16" s="2595"/>
      <c r="L16" s="2595"/>
      <c r="M16" s="2595"/>
      <c r="N16" s="2595"/>
      <c r="O16" s="2595"/>
      <c r="P16" s="2595"/>
      <c r="Q16" s="2595"/>
      <c r="R16" s="2595"/>
      <c r="S16" s="2595"/>
      <c r="T16" s="2595"/>
      <c r="U16" s="2595"/>
      <c r="V16" s="2595"/>
      <c r="W16" s="2595"/>
      <c r="X16" s="2595"/>
      <c r="Y16" s="1686"/>
      <c r="Z16" s="1686"/>
      <c r="AA16" s="1685"/>
    </row>
    <row r="17" spans="1:32" ht="48.75" customHeight="1" thickBot="1" x14ac:dyDescent="0.25">
      <c r="A17" s="600" t="s">
        <v>79</v>
      </c>
      <c r="B17" s="1227" t="s">
        <v>177</v>
      </c>
      <c r="C17" s="1227" t="s">
        <v>178</v>
      </c>
      <c r="D17" s="1227" t="s">
        <v>179</v>
      </c>
      <c r="E17" s="1227" t="s">
        <v>180</v>
      </c>
      <c r="F17" s="1227" t="s">
        <v>175</v>
      </c>
      <c r="G17" s="1227" t="s">
        <v>95</v>
      </c>
      <c r="H17" s="1227" t="s">
        <v>96</v>
      </c>
      <c r="I17" s="1227" t="s">
        <v>97</v>
      </c>
      <c r="J17" s="1227" t="s">
        <v>98</v>
      </c>
      <c r="K17" s="1227" t="s">
        <v>99</v>
      </c>
      <c r="L17" s="1227" t="s">
        <v>100</v>
      </c>
      <c r="M17" s="1227" t="s">
        <v>101</v>
      </c>
      <c r="N17" s="1227" t="s">
        <v>278</v>
      </c>
      <c r="O17" s="1227" t="s">
        <v>267</v>
      </c>
      <c r="P17" s="601">
        <v>2014</v>
      </c>
      <c r="Q17" s="601">
        <v>2015</v>
      </c>
      <c r="R17" s="601">
        <v>2016</v>
      </c>
      <c r="S17" s="602">
        <v>2017</v>
      </c>
      <c r="T17" s="602">
        <v>2018</v>
      </c>
      <c r="U17" s="797">
        <v>2019</v>
      </c>
      <c r="V17" s="797">
        <v>2020</v>
      </c>
      <c r="W17" s="798">
        <v>2021</v>
      </c>
      <c r="X17" s="599">
        <v>2022</v>
      </c>
      <c r="Y17" s="599">
        <v>2023</v>
      </c>
      <c r="Z17" s="603" t="s">
        <v>254</v>
      </c>
      <c r="AA17" s="604" t="s">
        <v>566</v>
      </c>
    </row>
    <row r="18" spans="1:32" s="1351" customFormat="1" ht="25.5" customHeight="1" x14ac:dyDescent="0.2">
      <c r="A18" s="1689" t="s">
        <v>650</v>
      </c>
      <c r="B18" s="1690">
        <v>3</v>
      </c>
      <c r="C18" s="1690">
        <v>4</v>
      </c>
      <c r="D18" s="1690">
        <v>0</v>
      </c>
      <c r="E18" s="1690">
        <v>1</v>
      </c>
      <c r="F18" s="1690">
        <v>2</v>
      </c>
      <c r="G18" s="1690" t="s">
        <v>255</v>
      </c>
      <c r="H18" s="1690">
        <v>0</v>
      </c>
      <c r="I18" s="1690">
        <v>0</v>
      </c>
      <c r="J18" s="1690">
        <v>0</v>
      </c>
      <c r="K18" s="1690">
        <v>0</v>
      </c>
      <c r="L18" s="1690">
        <v>14</v>
      </c>
      <c r="M18" s="1690">
        <v>13</v>
      </c>
      <c r="N18" s="1690">
        <v>5</v>
      </c>
      <c r="O18" s="1690">
        <v>12</v>
      </c>
      <c r="P18" s="1690">
        <v>4</v>
      </c>
      <c r="Q18" s="1690">
        <v>5</v>
      </c>
      <c r="R18" s="1690">
        <v>6</v>
      </c>
      <c r="S18" s="1691">
        <v>6</v>
      </c>
      <c r="T18" s="1691">
        <v>3</v>
      </c>
      <c r="U18" s="1692">
        <v>8</v>
      </c>
      <c r="V18" s="1693">
        <v>4</v>
      </c>
      <c r="W18" s="1694">
        <v>5</v>
      </c>
      <c r="X18" s="1695">
        <v>8</v>
      </c>
      <c r="Y18" s="1695">
        <v>9</v>
      </c>
      <c r="Z18" s="1696"/>
      <c r="AA18" s="1036">
        <f>SUM(B18:Y18)</f>
        <v>112</v>
      </c>
      <c r="AB18" s="1234">
        <f>6/8</f>
        <v>0.75</v>
      </c>
    </row>
    <row r="19" spans="1:32" s="1351" customFormat="1" ht="25.5" customHeight="1" x14ac:dyDescent="0.2">
      <c r="A19" s="1346" t="s">
        <v>651</v>
      </c>
      <c r="B19" s="1355">
        <v>0</v>
      </c>
      <c r="C19" s="1355">
        <v>2</v>
      </c>
      <c r="D19" s="1355">
        <v>0</v>
      </c>
      <c r="E19" s="1355">
        <v>0</v>
      </c>
      <c r="F19" s="1355" t="s">
        <v>256</v>
      </c>
      <c r="G19" s="1355" t="s">
        <v>256</v>
      </c>
      <c r="H19" s="1355">
        <v>0</v>
      </c>
      <c r="I19" s="1355">
        <v>0</v>
      </c>
      <c r="J19" s="1355">
        <v>0</v>
      </c>
      <c r="K19" s="1355">
        <v>0</v>
      </c>
      <c r="L19" s="1355"/>
      <c r="M19" s="1355"/>
      <c r="N19" s="1355">
        <v>3</v>
      </c>
      <c r="O19" s="1355">
        <v>3</v>
      </c>
      <c r="P19" s="1355">
        <v>0</v>
      </c>
      <c r="Q19" s="1355">
        <v>0</v>
      </c>
      <c r="R19" s="1355">
        <v>0</v>
      </c>
      <c r="S19" s="1348">
        <v>0</v>
      </c>
      <c r="T19" s="1348">
        <v>0</v>
      </c>
      <c r="U19" s="1231">
        <v>5</v>
      </c>
      <c r="V19" s="1231">
        <v>1</v>
      </c>
      <c r="W19" s="1349">
        <v>1</v>
      </c>
      <c r="X19" s="1232">
        <v>1</v>
      </c>
      <c r="Y19" s="1232">
        <v>2</v>
      </c>
      <c r="Z19" s="1350"/>
      <c r="AA19" s="1233">
        <f t="shared" ref="AA19:AA33" si="0">SUM(B19:Y19)</f>
        <v>18</v>
      </c>
      <c r="AB19" s="1234">
        <f>1/X19</f>
        <v>1</v>
      </c>
    </row>
    <row r="20" spans="1:32" s="1351" customFormat="1" ht="25.5" customHeight="1" x14ac:dyDescent="0.2">
      <c r="A20" s="1346" t="s">
        <v>652</v>
      </c>
      <c r="B20" s="1355">
        <v>7</v>
      </c>
      <c r="C20" s="1355">
        <v>12</v>
      </c>
      <c r="D20" s="1355">
        <v>5</v>
      </c>
      <c r="E20" s="1355">
        <v>4</v>
      </c>
      <c r="F20" s="1355">
        <v>4</v>
      </c>
      <c r="G20" s="1355">
        <v>5</v>
      </c>
      <c r="H20" s="1355">
        <v>7</v>
      </c>
      <c r="I20" s="1355">
        <v>4</v>
      </c>
      <c r="J20" s="1355">
        <v>3</v>
      </c>
      <c r="K20" s="1355">
        <v>7</v>
      </c>
      <c r="L20" s="1355">
        <v>7</v>
      </c>
      <c r="M20" s="1355">
        <v>2</v>
      </c>
      <c r="N20" s="1355">
        <v>6</v>
      </c>
      <c r="O20" s="1355">
        <v>4</v>
      </c>
      <c r="P20" s="1355">
        <v>3</v>
      </c>
      <c r="Q20" s="1355">
        <v>3</v>
      </c>
      <c r="R20" s="1355">
        <v>2</v>
      </c>
      <c r="S20" s="1348">
        <v>4</v>
      </c>
      <c r="T20" s="1348">
        <v>2</v>
      </c>
      <c r="U20" s="1231">
        <v>2</v>
      </c>
      <c r="V20" s="1352">
        <v>2</v>
      </c>
      <c r="W20" s="1353">
        <v>2</v>
      </c>
      <c r="X20" s="1354">
        <v>3</v>
      </c>
      <c r="Y20" s="1354">
        <v>2</v>
      </c>
      <c r="Z20" s="1350"/>
      <c r="AA20" s="1036">
        <f t="shared" si="0"/>
        <v>102</v>
      </c>
      <c r="AB20" s="1234">
        <f>X20/X20</f>
        <v>1</v>
      </c>
    </row>
    <row r="21" spans="1:32" s="1351" customFormat="1" ht="36.75" customHeight="1" x14ac:dyDescent="0.2">
      <c r="A21" s="1346" t="s">
        <v>653</v>
      </c>
      <c r="B21" s="1697">
        <v>17</v>
      </c>
      <c r="C21" s="1697">
        <v>8</v>
      </c>
      <c r="D21" s="1697">
        <v>5</v>
      </c>
      <c r="E21" s="1697">
        <v>3</v>
      </c>
      <c r="F21" s="1697">
        <v>1</v>
      </c>
      <c r="G21" s="1697">
        <v>0</v>
      </c>
      <c r="H21" s="1697">
        <v>0</v>
      </c>
      <c r="I21" s="1697">
        <v>0</v>
      </c>
      <c r="J21" s="1697">
        <v>1</v>
      </c>
      <c r="K21" s="1697">
        <v>1</v>
      </c>
      <c r="L21" s="1697">
        <v>1</v>
      </c>
      <c r="M21" s="1697">
        <v>2</v>
      </c>
      <c r="N21" s="1697">
        <v>1</v>
      </c>
      <c r="O21" s="1697">
        <v>2</v>
      </c>
      <c r="P21" s="1697">
        <v>2</v>
      </c>
      <c r="Q21" s="1697">
        <v>1</v>
      </c>
      <c r="R21" s="1697">
        <v>2</v>
      </c>
      <c r="S21" s="1698">
        <v>2</v>
      </c>
      <c r="T21" s="1698">
        <v>2</v>
      </c>
      <c r="U21" s="1352">
        <v>2</v>
      </c>
      <c r="V21" s="1352">
        <v>2</v>
      </c>
      <c r="W21" s="1353">
        <v>1</v>
      </c>
      <c r="X21" s="1354">
        <v>1</v>
      </c>
      <c r="Y21" s="1354">
        <v>1</v>
      </c>
      <c r="Z21" s="1699"/>
      <c r="AA21" s="1233">
        <f t="shared" si="0"/>
        <v>58</v>
      </c>
      <c r="AB21" s="1234">
        <f>1/X21</f>
        <v>1</v>
      </c>
    </row>
    <row r="22" spans="1:32" s="1351" customFormat="1" ht="25.5" customHeight="1" x14ac:dyDescent="0.2">
      <c r="A22" s="1346" t="s">
        <v>654</v>
      </c>
      <c r="B22" s="1355">
        <v>7</v>
      </c>
      <c r="C22" s="1355">
        <v>6</v>
      </c>
      <c r="D22" s="1355">
        <v>11</v>
      </c>
      <c r="E22" s="1355">
        <v>0</v>
      </c>
      <c r="F22" s="1355">
        <v>5</v>
      </c>
      <c r="G22" s="1355">
        <v>7</v>
      </c>
      <c r="H22" s="1355">
        <v>10</v>
      </c>
      <c r="I22" s="1355">
        <v>4</v>
      </c>
      <c r="J22" s="1355">
        <v>4</v>
      </c>
      <c r="K22" s="1355">
        <v>1</v>
      </c>
      <c r="L22" s="1355">
        <v>6</v>
      </c>
      <c r="M22" s="1355">
        <v>6</v>
      </c>
      <c r="N22" s="1355">
        <v>5</v>
      </c>
      <c r="O22" s="1355">
        <v>6</v>
      </c>
      <c r="P22" s="1355">
        <v>7</v>
      </c>
      <c r="Q22" s="1355">
        <v>1</v>
      </c>
      <c r="R22" s="1355">
        <v>5</v>
      </c>
      <c r="S22" s="1348">
        <v>4</v>
      </c>
      <c r="T22" s="1348">
        <v>2</v>
      </c>
      <c r="U22" s="1231">
        <v>3</v>
      </c>
      <c r="V22" s="1352">
        <v>4</v>
      </c>
      <c r="W22" s="1353">
        <v>6</v>
      </c>
      <c r="X22" s="1354">
        <v>1</v>
      </c>
      <c r="Y22" s="1354">
        <v>1</v>
      </c>
      <c r="Z22" s="1350"/>
      <c r="AA22" s="1233">
        <f t="shared" si="0"/>
        <v>112</v>
      </c>
      <c r="AB22" s="1234">
        <f>1/X22</f>
        <v>1</v>
      </c>
    </row>
    <row r="23" spans="1:32" s="1351" customFormat="1" ht="35.25" customHeight="1" x14ac:dyDescent="0.2">
      <c r="A23" s="1346" t="s">
        <v>655</v>
      </c>
      <c r="B23" s="1355">
        <v>13</v>
      </c>
      <c r="C23" s="1355">
        <v>8</v>
      </c>
      <c r="D23" s="1355">
        <v>8</v>
      </c>
      <c r="E23" s="1355">
        <v>2</v>
      </c>
      <c r="F23" s="1355">
        <v>3</v>
      </c>
      <c r="G23" s="1355">
        <v>1</v>
      </c>
      <c r="H23" s="1355">
        <v>2</v>
      </c>
      <c r="I23" s="1355">
        <v>1</v>
      </c>
      <c r="J23" s="1355">
        <v>2</v>
      </c>
      <c r="K23" s="1355">
        <v>2</v>
      </c>
      <c r="L23" s="1355">
        <v>5</v>
      </c>
      <c r="M23" s="1355">
        <v>4</v>
      </c>
      <c r="N23" s="1355">
        <v>4</v>
      </c>
      <c r="O23" s="1355">
        <v>4</v>
      </c>
      <c r="P23" s="1355">
        <v>3</v>
      </c>
      <c r="Q23" s="1355">
        <v>4</v>
      </c>
      <c r="R23" s="1355">
        <v>3</v>
      </c>
      <c r="S23" s="1348">
        <v>5</v>
      </c>
      <c r="T23" s="1348">
        <v>4</v>
      </c>
      <c r="U23" s="1231">
        <v>3</v>
      </c>
      <c r="V23" s="1352">
        <v>3</v>
      </c>
      <c r="W23" s="1353">
        <v>3</v>
      </c>
      <c r="X23" s="1354">
        <v>3</v>
      </c>
      <c r="Y23" s="1354">
        <v>7</v>
      </c>
      <c r="Z23" s="1350"/>
      <c r="AA23" s="1233">
        <f t="shared" si="0"/>
        <v>97</v>
      </c>
      <c r="AB23" s="1234">
        <f>3/3</f>
        <v>1</v>
      </c>
    </row>
    <row r="24" spans="1:32" s="1351" customFormat="1" ht="42.75" customHeight="1" x14ac:dyDescent="0.2">
      <c r="A24" s="1346" t="s">
        <v>656</v>
      </c>
      <c r="B24" s="1355">
        <v>3</v>
      </c>
      <c r="C24" s="1355">
        <v>3</v>
      </c>
      <c r="D24" s="1355">
        <v>5</v>
      </c>
      <c r="E24" s="1355">
        <v>0</v>
      </c>
      <c r="F24" s="1355">
        <v>0</v>
      </c>
      <c r="G24" s="1355">
        <v>3</v>
      </c>
      <c r="H24" s="1355">
        <v>0</v>
      </c>
      <c r="I24" s="1355">
        <v>3</v>
      </c>
      <c r="J24" s="1355">
        <v>0</v>
      </c>
      <c r="K24" s="1355">
        <v>2</v>
      </c>
      <c r="L24" s="1355">
        <v>1</v>
      </c>
      <c r="M24" s="1355">
        <v>1</v>
      </c>
      <c r="N24" s="1355">
        <v>1</v>
      </c>
      <c r="O24" s="1355">
        <v>1</v>
      </c>
      <c r="P24" s="1355">
        <v>3</v>
      </c>
      <c r="Q24" s="1355">
        <v>1</v>
      </c>
      <c r="R24" s="1355">
        <v>4</v>
      </c>
      <c r="S24" s="1348">
        <v>3</v>
      </c>
      <c r="T24" s="1348">
        <v>3</v>
      </c>
      <c r="U24" s="1231">
        <v>3</v>
      </c>
      <c r="V24" s="1231">
        <v>3</v>
      </c>
      <c r="W24" s="1349">
        <v>5</v>
      </c>
      <c r="X24" s="1232">
        <v>3</v>
      </c>
      <c r="Y24" s="1232">
        <v>1</v>
      </c>
      <c r="Z24" s="1350"/>
      <c r="AA24" s="1233">
        <f t="shared" si="0"/>
        <v>52</v>
      </c>
      <c r="AB24" s="1234">
        <f>3/3</f>
        <v>1</v>
      </c>
    </row>
    <row r="25" spans="1:32" s="1351" customFormat="1" ht="36" customHeight="1" x14ac:dyDescent="0.2">
      <c r="A25" s="1346" t="s">
        <v>657</v>
      </c>
      <c r="B25" s="1355">
        <v>5</v>
      </c>
      <c r="C25" s="1355">
        <v>4</v>
      </c>
      <c r="D25" s="1355">
        <v>9</v>
      </c>
      <c r="E25" s="1355">
        <v>5</v>
      </c>
      <c r="F25" s="1355">
        <v>5</v>
      </c>
      <c r="G25" s="1355">
        <v>1</v>
      </c>
      <c r="H25" s="1355">
        <v>2</v>
      </c>
      <c r="I25" s="1355">
        <v>1</v>
      </c>
      <c r="J25" s="1355">
        <v>2</v>
      </c>
      <c r="K25" s="1355">
        <v>3</v>
      </c>
      <c r="L25" s="1355">
        <v>4</v>
      </c>
      <c r="M25" s="1355">
        <v>7</v>
      </c>
      <c r="N25" s="1355">
        <v>5</v>
      </c>
      <c r="O25" s="1355">
        <v>7</v>
      </c>
      <c r="P25" s="1355">
        <v>12</v>
      </c>
      <c r="Q25" s="1355">
        <v>11</v>
      </c>
      <c r="R25" s="1355">
        <v>9</v>
      </c>
      <c r="S25" s="1348">
        <v>7</v>
      </c>
      <c r="T25" s="1348">
        <v>2</v>
      </c>
      <c r="U25" s="1231">
        <v>4</v>
      </c>
      <c r="V25" s="1231">
        <v>4</v>
      </c>
      <c r="W25" s="1349">
        <v>3</v>
      </c>
      <c r="X25" s="1232">
        <v>4</v>
      </c>
      <c r="Y25" s="1232">
        <v>4</v>
      </c>
      <c r="Z25" s="1350"/>
      <c r="AA25" s="1233">
        <f t="shared" si="0"/>
        <v>120</v>
      </c>
      <c r="AB25" s="1234">
        <f>4/X25</f>
        <v>1</v>
      </c>
    </row>
    <row r="26" spans="1:32" s="1351" customFormat="1" ht="25.5" customHeight="1" x14ac:dyDescent="0.2">
      <c r="A26" s="1346" t="s">
        <v>658</v>
      </c>
      <c r="B26" s="1355">
        <v>8</v>
      </c>
      <c r="C26" s="1355">
        <v>5</v>
      </c>
      <c r="D26" s="1355">
        <v>9</v>
      </c>
      <c r="E26" s="1355">
        <v>1</v>
      </c>
      <c r="F26" s="1355">
        <v>10</v>
      </c>
      <c r="G26" s="1355">
        <v>1</v>
      </c>
      <c r="H26" s="1355">
        <v>1</v>
      </c>
      <c r="I26" s="1355">
        <v>3</v>
      </c>
      <c r="J26" s="1355">
        <v>0</v>
      </c>
      <c r="K26" s="1355">
        <v>3</v>
      </c>
      <c r="L26" s="1355">
        <v>2</v>
      </c>
      <c r="M26" s="1355">
        <v>1</v>
      </c>
      <c r="N26" s="1355">
        <v>1</v>
      </c>
      <c r="O26" s="1355">
        <v>1</v>
      </c>
      <c r="P26" s="1355">
        <v>6</v>
      </c>
      <c r="Q26" s="1355">
        <v>3</v>
      </c>
      <c r="R26" s="1355">
        <v>4</v>
      </c>
      <c r="S26" s="1348">
        <v>22</v>
      </c>
      <c r="T26" s="1348">
        <v>5</v>
      </c>
      <c r="U26" s="1231">
        <v>9</v>
      </c>
      <c r="V26" s="1231">
        <v>6</v>
      </c>
      <c r="W26" s="1349">
        <v>6</v>
      </c>
      <c r="X26" s="1232">
        <v>5</v>
      </c>
      <c r="Y26" s="1232">
        <v>4</v>
      </c>
      <c r="Z26" s="1350"/>
      <c r="AA26" s="1233">
        <f t="shared" si="0"/>
        <v>116</v>
      </c>
      <c r="AB26" s="1234">
        <f>5/5</f>
        <v>1</v>
      </c>
    </row>
    <row r="27" spans="1:32" s="1351" customFormat="1" ht="36.75" customHeight="1" x14ac:dyDescent="0.2">
      <c r="A27" s="1346" t="s">
        <v>659</v>
      </c>
      <c r="B27" s="1355">
        <v>11</v>
      </c>
      <c r="C27" s="1355">
        <v>6</v>
      </c>
      <c r="D27" s="1355">
        <v>6</v>
      </c>
      <c r="E27" s="1355">
        <v>3</v>
      </c>
      <c r="F27" s="1355">
        <v>1</v>
      </c>
      <c r="G27" s="1355">
        <v>1</v>
      </c>
      <c r="H27" s="1355">
        <v>0</v>
      </c>
      <c r="I27" s="1355">
        <v>2</v>
      </c>
      <c r="J27" s="1355">
        <v>3</v>
      </c>
      <c r="K27" s="1355">
        <v>5</v>
      </c>
      <c r="L27" s="1355">
        <v>5</v>
      </c>
      <c r="M27" s="1355">
        <v>10</v>
      </c>
      <c r="N27" s="1355">
        <v>12</v>
      </c>
      <c r="O27" s="1355">
        <v>9</v>
      </c>
      <c r="P27" s="1355">
        <v>5</v>
      </c>
      <c r="Q27" s="1355">
        <v>4</v>
      </c>
      <c r="R27" s="1355">
        <v>4</v>
      </c>
      <c r="S27" s="1348">
        <v>6</v>
      </c>
      <c r="T27" s="1348">
        <v>1</v>
      </c>
      <c r="U27" s="1231">
        <v>4</v>
      </c>
      <c r="V27" s="1231">
        <v>10</v>
      </c>
      <c r="W27" s="1349">
        <v>10</v>
      </c>
      <c r="X27" s="1232">
        <v>7</v>
      </c>
      <c r="Y27" s="1232">
        <v>6</v>
      </c>
      <c r="Z27" s="1350"/>
      <c r="AA27" s="1233">
        <f t="shared" si="0"/>
        <v>131</v>
      </c>
      <c r="AB27" s="1234">
        <f>7/7</f>
        <v>1</v>
      </c>
    </row>
    <row r="28" spans="1:32" s="1235" customFormat="1" ht="25.5" customHeight="1" x14ac:dyDescent="0.2">
      <c r="A28" s="1346" t="s">
        <v>660</v>
      </c>
      <c r="B28" s="1355">
        <v>2</v>
      </c>
      <c r="C28" s="1355">
        <v>3</v>
      </c>
      <c r="D28" s="1355">
        <v>13</v>
      </c>
      <c r="E28" s="1355">
        <v>3</v>
      </c>
      <c r="F28" s="1355">
        <v>1</v>
      </c>
      <c r="G28" s="1355">
        <v>3</v>
      </c>
      <c r="H28" s="1355">
        <v>2</v>
      </c>
      <c r="I28" s="1355">
        <v>6</v>
      </c>
      <c r="J28" s="1355">
        <v>1</v>
      </c>
      <c r="K28" s="1355">
        <v>3</v>
      </c>
      <c r="L28" s="1355">
        <v>5</v>
      </c>
      <c r="M28" s="1355">
        <v>3</v>
      </c>
      <c r="N28" s="1355">
        <v>4</v>
      </c>
      <c r="O28" s="1355">
        <v>3</v>
      </c>
      <c r="P28" s="1355">
        <v>5</v>
      </c>
      <c r="Q28" s="1355">
        <v>3</v>
      </c>
      <c r="R28" s="1355">
        <v>3</v>
      </c>
      <c r="S28" s="1348">
        <v>6</v>
      </c>
      <c r="T28" s="1348">
        <v>5</v>
      </c>
      <c r="U28" s="1231">
        <v>5</v>
      </c>
      <c r="V28" s="1231">
        <v>5</v>
      </c>
      <c r="W28" s="1349">
        <v>3</v>
      </c>
      <c r="X28" s="1232">
        <v>1</v>
      </c>
      <c r="Y28" s="1232">
        <v>2</v>
      </c>
      <c r="Z28" s="1350"/>
      <c r="AA28" s="1233">
        <f t="shared" si="0"/>
        <v>90</v>
      </c>
      <c r="AB28" s="1234">
        <f>1/X28</f>
        <v>1</v>
      </c>
      <c r="AF28" s="1351"/>
    </row>
    <row r="29" spans="1:32" s="1351" customFormat="1" ht="35.25" customHeight="1" x14ac:dyDescent="0.2">
      <c r="A29" s="1346" t="s">
        <v>467</v>
      </c>
      <c r="B29" s="1355" t="s">
        <v>106</v>
      </c>
      <c r="C29" s="1355" t="s">
        <v>106</v>
      </c>
      <c r="D29" s="1355" t="s">
        <v>106</v>
      </c>
      <c r="E29" s="1355" t="s">
        <v>106</v>
      </c>
      <c r="F29" s="1355" t="s">
        <v>106</v>
      </c>
      <c r="G29" s="1355" t="s">
        <v>106</v>
      </c>
      <c r="H29" s="1355" t="s">
        <v>106</v>
      </c>
      <c r="I29" s="1355" t="s">
        <v>106</v>
      </c>
      <c r="J29" s="1355" t="s">
        <v>106</v>
      </c>
      <c r="K29" s="1355" t="s">
        <v>106</v>
      </c>
      <c r="L29" s="1355" t="s">
        <v>106</v>
      </c>
      <c r="M29" s="1355" t="s">
        <v>106</v>
      </c>
      <c r="N29" s="1355" t="s">
        <v>106</v>
      </c>
      <c r="O29" s="1355" t="s">
        <v>106</v>
      </c>
      <c r="P29" s="1355" t="s">
        <v>106</v>
      </c>
      <c r="Q29" s="1355" t="s">
        <v>106</v>
      </c>
      <c r="R29" s="1355" t="s">
        <v>106</v>
      </c>
      <c r="S29" s="1348">
        <v>2</v>
      </c>
      <c r="T29" s="1348">
        <v>2</v>
      </c>
      <c r="U29" s="1231">
        <v>3</v>
      </c>
      <c r="V29" s="1352">
        <v>3</v>
      </c>
      <c r="W29" s="1353">
        <v>3</v>
      </c>
      <c r="X29" s="1354">
        <v>1</v>
      </c>
      <c r="Y29" s="1354">
        <v>1</v>
      </c>
      <c r="Z29" s="1350"/>
      <c r="AA29" s="1233">
        <f t="shared" si="0"/>
        <v>15</v>
      </c>
      <c r="AB29" s="1234">
        <f>1/1</f>
        <v>1</v>
      </c>
    </row>
    <row r="30" spans="1:32" s="1235" customFormat="1" ht="18.75" x14ac:dyDescent="0.2">
      <c r="A30" s="1228" t="s">
        <v>661</v>
      </c>
      <c r="B30" s="1229" t="s">
        <v>106</v>
      </c>
      <c r="C30" s="1229" t="s">
        <v>106</v>
      </c>
      <c r="D30" s="1229" t="s">
        <v>106</v>
      </c>
      <c r="E30" s="1229" t="s">
        <v>106</v>
      </c>
      <c r="F30" s="1229" t="s">
        <v>106</v>
      </c>
      <c r="G30" s="1229" t="s">
        <v>106</v>
      </c>
      <c r="H30" s="1229" t="s">
        <v>106</v>
      </c>
      <c r="I30" s="1229" t="s">
        <v>106</v>
      </c>
      <c r="J30" s="1229" t="s">
        <v>106</v>
      </c>
      <c r="K30" s="1229" t="s">
        <v>106</v>
      </c>
      <c r="L30" s="1229" t="s">
        <v>106</v>
      </c>
      <c r="M30" s="1229" t="s">
        <v>106</v>
      </c>
      <c r="N30" s="1229" t="s">
        <v>106</v>
      </c>
      <c r="O30" s="1229" t="s">
        <v>106</v>
      </c>
      <c r="P30" s="1229" t="s">
        <v>106</v>
      </c>
      <c r="Q30" s="1229" t="s">
        <v>106</v>
      </c>
      <c r="R30" s="1229" t="s">
        <v>106</v>
      </c>
      <c r="S30" s="1230">
        <v>18</v>
      </c>
      <c r="T30" s="1230">
        <v>19</v>
      </c>
      <c r="U30" s="1231">
        <v>18</v>
      </c>
      <c r="V30" s="1231">
        <v>14</v>
      </c>
      <c r="W30" s="1231">
        <v>16</v>
      </c>
      <c r="X30" s="1232">
        <v>16</v>
      </c>
      <c r="Y30" s="1232">
        <v>27</v>
      </c>
      <c r="Z30" s="1231"/>
      <c r="AA30" s="1233">
        <f t="shared" si="0"/>
        <v>128</v>
      </c>
      <c r="AB30" s="1234">
        <f>12/X30</f>
        <v>0.75</v>
      </c>
    </row>
    <row r="31" spans="1:32" s="1351" customFormat="1" ht="18.75" x14ac:dyDescent="0.2">
      <c r="A31" s="1346" t="s">
        <v>662</v>
      </c>
      <c r="B31" s="1347" t="s">
        <v>106</v>
      </c>
      <c r="C31" s="1347" t="s">
        <v>106</v>
      </c>
      <c r="D31" s="1347" t="s">
        <v>106</v>
      </c>
      <c r="E31" s="1347" t="s">
        <v>106</v>
      </c>
      <c r="F31" s="1347" t="s">
        <v>106</v>
      </c>
      <c r="G31" s="1347" t="s">
        <v>106</v>
      </c>
      <c r="H31" s="1347" t="s">
        <v>106</v>
      </c>
      <c r="I31" s="1347" t="s">
        <v>106</v>
      </c>
      <c r="J31" s="1347" t="s">
        <v>106</v>
      </c>
      <c r="K31" s="1347" t="s">
        <v>106</v>
      </c>
      <c r="L31" s="1347" t="s">
        <v>106</v>
      </c>
      <c r="M31" s="1347" t="s">
        <v>106</v>
      </c>
      <c r="N31" s="1347" t="s">
        <v>106</v>
      </c>
      <c r="O31" s="1347" t="s">
        <v>106</v>
      </c>
      <c r="P31" s="1347" t="s">
        <v>106</v>
      </c>
      <c r="Q31" s="1347" t="s">
        <v>106</v>
      </c>
      <c r="R31" s="1347" t="s">
        <v>106</v>
      </c>
      <c r="S31" s="1348">
        <v>25</v>
      </c>
      <c r="T31" s="1348">
        <v>18</v>
      </c>
      <c r="U31" s="1231">
        <v>22</v>
      </c>
      <c r="V31" s="1231">
        <v>14</v>
      </c>
      <c r="W31" s="1349">
        <v>20</v>
      </c>
      <c r="X31" s="1232">
        <v>24</v>
      </c>
      <c r="Y31" s="1232">
        <v>5</v>
      </c>
      <c r="Z31" s="1350"/>
      <c r="AA31" s="1233">
        <f t="shared" si="0"/>
        <v>128</v>
      </c>
      <c r="AB31" s="1234">
        <f>X31/X31</f>
        <v>1</v>
      </c>
    </row>
    <row r="32" spans="1:32" s="1351" customFormat="1" ht="18.75" x14ac:dyDescent="0.2">
      <c r="A32" s="1346" t="s">
        <v>663</v>
      </c>
      <c r="B32" s="1347" t="s">
        <v>106</v>
      </c>
      <c r="C32" s="1347" t="s">
        <v>106</v>
      </c>
      <c r="D32" s="1347" t="s">
        <v>106</v>
      </c>
      <c r="E32" s="1347" t="s">
        <v>106</v>
      </c>
      <c r="F32" s="1347" t="s">
        <v>106</v>
      </c>
      <c r="G32" s="1347" t="s">
        <v>106</v>
      </c>
      <c r="H32" s="1347" t="s">
        <v>106</v>
      </c>
      <c r="I32" s="1347" t="s">
        <v>106</v>
      </c>
      <c r="J32" s="1347" t="s">
        <v>106</v>
      </c>
      <c r="K32" s="1347" t="s">
        <v>106</v>
      </c>
      <c r="L32" s="1347" t="s">
        <v>106</v>
      </c>
      <c r="M32" s="1347" t="s">
        <v>106</v>
      </c>
      <c r="N32" s="1347" t="s">
        <v>106</v>
      </c>
      <c r="O32" s="1347" t="s">
        <v>106</v>
      </c>
      <c r="P32" s="1347" t="s">
        <v>106</v>
      </c>
      <c r="Q32" s="1347" t="s">
        <v>106</v>
      </c>
      <c r="R32" s="1347" t="s">
        <v>106</v>
      </c>
      <c r="S32" s="1348">
        <v>13</v>
      </c>
      <c r="T32" s="1348">
        <v>17</v>
      </c>
      <c r="U32" s="1231">
        <v>17</v>
      </c>
      <c r="V32" s="1352">
        <v>11</v>
      </c>
      <c r="W32" s="1353">
        <v>8</v>
      </c>
      <c r="X32" s="1354">
        <v>9</v>
      </c>
      <c r="Y32" s="1354">
        <v>7</v>
      </c>
      <c r="Z32" s="1350"/>
      <c r="AA32" s="1233">
        <f t="shared" si="0"/>
        <v>82</v>
      </c>
      <c r="AB32" s="1234">
        <f>8/X32</f>
        <v>0.88888888888888884</v>
      </c>
    </row>
    <row r="33" spans="1:35" s="1351" customFormat="1" ht="36.75" customHeight="1" x14ac:dyDescent="0.2">
      <c r="A33" s="1346" t="s">
        <v>664</v>
      </c>
      <c r="B33" s="1347" t="s">
        <v>106</v>
      </c>
      <c r="C33" s="1347" t="s">
        <v>106</v>
      </c>
      <c r="D33" s="1347" t="s">
        <v>106</v>
      </c>
      <c r="E33" s="1347" t="s">
        <v>106</v>
      </c>
      <c r="F33" s="1347" t="s">
        <v>106</v>
      </c>
      <c r="G33" s="1347" t="s">
        <v>106</v>
      </c>
      <c r="H33" s="1347" t="s">
        <v>106</v>
      </c>
      <c r="I33" s="1347" t="s">
        <v>106</v>
      </c>
      <c r="J33" s="1347" t="s">
        <v>106</v>
      </c>
      <c r="K33" s="1347" t="s">
        <v>106</v>
      </c>
      <c r="L33" s="1347" t="s">
        <v>106</v>
      </c>
      <c r="M33" s="1347" t="s">
        <v>106</v>
      </c>
      <c r="N33" s="1347" t="s">
        <v>106</v>
      </c>
      <c r="O33" s="1347" t="s">
        <v>106</v>
      </c>
      <c r="P33" s="1347" t="s">
        <v>106</v>
      </c>
      <c r="Q33" s="1347" t="s">
        <v>106</v>
      </c>
      <c r="R33" s="1347" t="s">
        <v>106</v>
      </c>
      <c r="S33" s="1348">
        <v>3</v>
      </c>
      <c r="T33" s="1348">
        <v>2</v>
      </c>
      <c r="U33" s="1231">
        <v>3</v>
      </c>
      <c r="V33" s="1352">
        <v>3</v>
      </c>
      <c r="W33" s="1353">
        <v>3</v>
      </c>
      <c r="X33" s="1354">
        <v>3</v>
      </c>
      <c r="Y33" s="1354">
        <v>3</v>
      </c>
      <c r="Z33" s="1350"/>
      <c r="AA33" s="1233">
        <f t="shared" si="0"/>
        <v>20</v>
      </c>
      <c r="AB33" s="1234">
        <f>3/3</f>
        <v>1</v>
      </c>
    </row>
    <row r="34" spans="1:35" ht="37.5" customHeight="1" thickBot="1" x14ac:dyDescent="0.25">
      <c r="A34" s="593" t="s">
        <v>117</v>
      </c>
      <c r="B34" s="594">
        <v>76</v>
      </c>
      <c r="C34" s="594">
        <v>61</v>
      </c>
      <c r="D34" s="594">
        <v>71</v>
      </c>
      <c r="E34" s="594">
        <v>22</v>
      </c>
      <c r="F34" s="594">
        <v>32</v>
      </c>
      <c r="G34" s="594">
        <v>22</v>
      </c>
      <c r="H34" s="594">
        <v>24</v>
      </c>
      <c r="I34" s="594">
        <v>24</v>
      </c>
      <c r="J34" s="594">
        <v>16</v>
      </c>
      <c r="K34" s="594">
        <v>27</v>
      </c>
      <c r="L34" s="594">
        <v>50</v>
      </c>
      <c r="M34" s="594">
        <v>49</v>
      </c>
      <c r="N34" s="594">
        <v>47</v>
      </c>
      <c r="O34" s="594">
        <v>52</v>
      </c>
      <c r="P34" s="594">
        <v>50</v>
      </c>
      <c r="Q34" s="594">
        <v>36</v>
      </c>
      <c r="R34" s="594">
        <v>42</v>
      </c>
      <c r="S34" s="595">
        <v>126</v>
      </c>
      <c r="T34" s="595">
        <v>87</v>
      </c>
      <c r="U34" s="799">
        <f t="shared" ref="U34:AA34" si="1">SUM(U18:U33)</f>
        <v>111</v>
      </c>
      <c r="V34" s="799">
        <f t="shared" si="1"/>
        <v>89</v>
      </c>
      <c r="W34" s="800">
        <f t="shared" si="1"/>
        <v>95</v>
      </c>
      <c r="X34" s="800">
        <f>SUM(X18:X33)</f>
        <v>90</v>
      </c>
      <c r="Y34" s="800">
        <f>SUM(Y18:Y33)</f>
        <v>82</v>
      </c>
      <c r="Z34" s="596">
        <f t="shared" si="1"/>
        <v>0</v>
      </c>
      <c r="AA34" s="596">
        <f t="shared" si="1"/>
        <v>1381</v>
      </c>
      <c r="AB34" s="479">
        <f>AC34/X34</f>
        <v>1</v>
      </c>
      <c r="AC34" s="1290">
        <f>X34-Z34</f>
        <v>90</v>
      </c>
    </row>
    <row r="35" spans="1:35" ht="222" customHeight="1" thickBot="1" x14ac:dyDescent="0.25">
      <c r="A35" s="2586" t="s">
        <v>1330</v>
      </c>
      <c r="B35" s="2587"/>
      <c r="C35" s="2587"/>
      <c r="D35" s="2587"/>
      <c r="E35" s="2587"/>
      <c r="F35" s="2587"/>
      <c r="G35" s="2587"/>
      <c r="H35" s="2587"/>
      <c r="I35" s="2587"/>
      <c r="J35" s="2587"/>
      <c r="K35" s="2587"/>
      <c r="L35" s="2587"/>
      <c r="M35" s="2587"/>
      <c r="N35" s="2587"/>
      <c r="O35" s="2587"/>
      <c r="P35" s="2587"/>
      <c r="Q35" s="2587"/>
      <c r="R35" s="2587"/>
      <c r="S35" s="2587"/>
      <c r="T35" s="2587"/>
      <c r="U35" s="2587"/>
      <c r="V35" s="2587"/>
      <c r="W35" s="2587"/>
      <c r="X35" s="2587"/>
      <c r="Y35" s="2587"/>
      <c r="Z35" s="2587"/>
      <c r="AA35" s="2588"/>
      <c r="AG35" s="2589"/>
      <c r="AH35" s="2589"/>
      <c r="AI35" s="2589"/>
    </row>
    <row r="36" spans="1:35" ht="51.75" customHeight="1" x14ac:dyDescent="0.2">
      <c r="A36" s="473"/>
      <c r="B36" s="474"/>
      <c r="C36" s="474"/>
      <c r="D36" s="474"/>
      <c r="E36" s="474"/>
      <c r="F36" s="474"/>
      <c r="G36" s="474"/>
      <c r="H36" s="474"/>
      <c r="I36" s="474"/>
      <c r="J36" s="474"/>
      <c r="K36" s="474"/>
      <c r="L36" s="474"/>
      <c r="M36" s="474"/>
      <c r="N36" s="474"/>
      <c r="O36" s="474"/>
      <c r="P36" s="474"/>
      <c r="Q36" s="474"/>
      <c r="R36" s="474"/>
      <c r="S36" s="474"/>
      <c r="T36" s="474"/>
      <c r="U36" s="801"/>
      <c r="V36" s="801"/>
      <c r="W36" s="802"/>
      <c r="X36" s="474"/>
      <c r="Y36" s="474"/>
      <c r="Z36" s="474"/>
      <c r="AA36" s="474"/>
      <c r="AG36" s="475"/>
      <c r="AH36" s="475"/>
      <c r="AI36" s="475"/>
    </row>
    <row r="37" spans="1:35" ht="75" customHeight="1" x14ac:dyDescent="0.2">
      <c r="A37" s="473"/>
      <c r="B37" s="474"/>
      <c r="C37" s="474"/>
      <c r="D37" s="474"/>
      <c r="E37" s="474"/>
      <c r="F37" s="474"/>
      <c r="G37" s="474"/>
      <c r="H37" s="474"/>
      <c r="I37" s="474"/>
      <c r="J37" s="474"/>
      <c r="K37" s="474"/>
      <c r="L37" s="474"/>
      <c r="M37" s="474"/>
      <c r="N37" s="474"/>
      <c r="O37" s="474"/>
      <c r="AG37" s="475"/>
      <c r="AH37" s="475"/>
      <c r="AI37" s="475"/>
    </row>
    <row r="38" spans="1:35" ht="31.5" customHeight="1" x14ac:dyDescent="0.2">
      <c r="A38" s="476"/>
      <c r="B38" s="474"/>
      <c r="C38" s="474"/>
      <c r="D38" s="474"/>
      <c r="E38" s="474"/>
      <c r="F38" s="474"/>
      <c r="G38" s="474"/>
      <c r="H38" s="474"/>
      <c r="I38" s="474"/>
      <c r="J38" s="474"/>
      <c r="K38" s="474"/>
      <c r="L38" s="474"/>
      <c r="M38" s="474"/>
      <c r="N38" s="474"/>
      <c r="O38" s="474"/>
    </row>
    <row r="39" spans="1:35" x14ac:dyDescent="0.2">
      <c r="B39" s="474"/>
      <c r="C39" s="474"/>
      <c r="D39" s="474"/>
      <c r="E39" s="474"/>
      <c r="F39" s="474"/>
      <c r="G39" s="474"/>
      <c r="H39" s="474"/>
      <c r="I39" s="474"/>
      <c r="J39" s="474"/>
      <c r="K39" s="474"/>
      <c r="L39" s="474"/>
      <c r="M39" s="474"/>
      <c r="N39" s="474"/>
      <c r="O39" s="474"/>
    </row>
  </sheetData>
  <mergeCells count="27">
    <mergeCell ref="A35:AA35"/>
    <mergeCell ref="AG35:AI35"/>
    <mergeCell ref="B9:D9"/>
    <mergeCell ref="E9:F9"/>
    <mergeCell ref="B10:D10"/>
    <mergeCell ref="E10:F10"/>
    <mergeCell ref="B11:D11"/>
    <mergeCell ref="E11:F11"/>
    <mergeCell ref="A12:A14"/>
    <mergeCell ref="B12:D12"/>
    <mergeCell ref="E12:F12"/>
    <mergeCell ref="H12:H14"/>
    <mergeCell ref="B13:D13"/>
    <mergeCell ref="E13:F13"/>
    <mergeCell ref="B14:D14"/>
    <mergeCell ref="A16:X16"/>
    <mergeCell ref="E14:F14"/>
    <mergeCell ref="A4:H4"/>
    <mergeCell ref="A5:A6"/>
    <mergeCell ref="B5:D6"/>
    <mergeCell ref="E5:F6"/>
    <mergeCell ref="G5:H5"/>
    <mergeCell ref="A7:A8"/>
    <mergeCell ref="B7:D7"/>
    <mergeCell ref="E7:F7"/>
    <mergeCell ref="B8:D8"/>
    <mergeCell ref="E8:F8"/>
  </mergeCells>
  <pageMargins left="0.74803149606299213" right="0.25" top="0.98425196850393704" bottom="0.98425196850393704" header="0" footer="0"/>
  <pageSetup paperSize="119" scale="75"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100"/>
  <sheetViews>
    <sheetView topLeftCell="B1" workbookViewId="0">
      <selection activeCell="E9" sqref="E9"/>
    </sheetView>
  </sheetViews>
  <sheetFormatPr baseColWidth="10" defaultRowHeight="15" x14ac:dyDescent="0.25"/>
  <cols>
    <col min="1" max="1" width="15.140625" style="657" customWidth="1"/>
    <col min="2" max="2" width="17" style="428" customWidth="1"/>
    <col min="3" max="3" width="14.28515625" style="426" customWidth="1"/>
    <col min="4" max="4" width="16.7109375" style="426" customWidth="1"/>
    <col min="5" max="5" width="36.42578125" style="428" customWidth="1"/>
    <col min="6" max="6" width="12.42578125" style="428" customWidth="1"/>
    <col min="7" max="7" width="10.42578125" style="426" customWidth="1"/>
    <col min="8" max="8" width="11.140625" style="426" customWidth="1"/>
    <col min="9" max="9" width="10.7109375" style="426" customWidth="1"/>
    <col min="10" max="10" width="16.5703125" style="427" customWidth="1"/>
    <col min="11" max="11" width="83.28515625" style="428" customWidth="1"/>
    <col min="12" max="22" width="7.7109375" style="657" customWidth="1"/>
    <col min="23" max="247" width="11.42578125" style="657"/>
    <col min="248" max="248" width="6.140625" style="657" customWidth="1"/>
    <col min="249" max="249" width="18" style="657" customWidth="1"/>
    <col min="250" max="250" width="5.42578125" style="657" customWidth="1"/>
    <col min="251" max="251" width="11.42578125" style="657"/>
    <col min="252" max="252" width="14" style="657" customWidth="1"/>
    <col min="253" max="253" width="10.85546875" style="657" customWidth="1"/>
    <col min="254" max="254" width="10.140625" style="657" customWidth="1"/>
    <col min="255" max="255" width="7.7109375" style="657" customWidth="1"/>
    <col min="256" max="256" width="13.7109375" style="657" customWidth="1"/>
    <col min="257" max="503" width="11.42578125" style="657"/>
    <col min="504" max="504" width="6.140625" style="657" customWidth="1"/>
    <col min="505" max="505" width="18" style="657" customWidth="1"/>
    <col min="506" max="506" width="5.42578125" style="657" customWidth="1"/>
    <col min="507" max="507" width="11.42578125" style="657"/>
    <col min="508" max="508" width="14" style="657" customWidth="1"/>
    <col min="509" max="509" width="10.85546875" style="657" customWidth="1"/>
    <col min="510" max="510" width="10.140625" style="657" customWidth="1"/>
    <col min="511" max="511" width="7.7109375" style="657" customWidth="1"/>
    <col min="512" max="512" width="13.7109375" style="657" customWidth="1"/>
    <col min="513" max="759" width="11.42578125" style="657"/>
    <col min="760" max="760" width="6.140625" style="657" customWidth="1"/>
    <col min="761" max="761" width="18" style="657" customWidth="1"/>
    <col min="762" max="762" width="5.42578125" style="657" customWidth="1"/>
    <col min="763" max="763" width="11.42578125" style="657"/>
    <col min="764" max="764" width="14" style="657" customWidth="1"/>
    <col min="765" max="765" width="10.85546875" style="657" customWidth="1"/>
    <col min="766" max="766" width="10.140625" style="657" customWidth="1"/>
    <col min="767" max="767" width="7.7109375" style="657" customWidth="1"/>
    <col min="768" max="768" width="13.7109375" style="657" customWidth="1"/>
    <col min="769" max="1015" width="11.42578125" style="657"/>
    <col min="1016" max="1016" width="6.140625" style="657" customWidth="1"/>
    <col min="1017" max="1017" width="18" style="657" customWidth="1"/>
    <col min="1018" max="1018" width="5.42578125" style="657" customWidth="1"/>
    <col min="1019" max="1019" width="11.42578125" style="657"/>
    <col min="1020" max="1020" width="14" style="657" customWidth="1"/>
    <col min="1021" max="1021" width="10.85546875" style="657" customWidth="1"/>
    <col min="1022" max="1022" width="10.140625" style="657" customWidth="1"/>
    <col min="1023" max="1023" width="7.7109375" style="657" customWidth="1"/>
    <col min="1024" max="1024" width="13.7109375" style="657" customWidth="1"/>
    <col min="1025" max="1271" width="11.42578125" style="657"/>
    <col min="1272" max="1272" width="6.140625" style="657" customWidth="1"/>
    <col min="1273" max="1273" width="18" style="657" customWidth="1"/>
    <col min="1274" max="1274" width="5.42578125" style="657" customWidth="1"/>
    <col min="1275" max="1275" width="11.42578125" style="657"/>
    <col min="1276" max="1276" width="14" style="657" customWidth="1"/>
    <col min="1277" max="1277" width="10.85546875" style="657" customWidth="1"/>
    <col min="1278" max="1278" width="10.140625" style="657" customWidth="1"/>
    <col min="1279" max="1279" width="7.7109375" style="657" customWidth="1"/>
    <col min="1280" max="1280" width="13.7109375" style="657" customWidth="1"/>
    <col min="1281" max="1527" width="11.42578125" style="657"/>
    <col min="1528" max="1528" width="6.140625" style="657" customWidth="1"/>
    <col min="1529" max="1529" width="18" style="657" customWidth="1"/>
    <col min="1530" max="1530" width="5.42578125" style="657" customWidth="1"/>
    <col min="1531" max="1531" width="11.42578125" style="657"/>
    <col min="1532" max="1532" width="14" style="657" customWidth="1"/>
    <col min="1533" max="1533" width="10.85546875" style="657" customWidth="1"/>
    <col min="1534" max="1534" width="10.140625" style="657" customWidth="1"/>
    <col min="1535" max="1535" width="7.7109375" style="657" customWidth="1"/>
    <col min="1536" max="1536" width="13.7109375" style="657" customWidth="1"/>
    <col min="1537" max="1783" width="11.42578125" style="657"/>
    <col min="1784" max="1784" width="6.140625" style="657" customWidth="1"/>
    <col min="1785" max="1785" width="18" style="657" customWidth="1"/>
    <col min="1786" max="1786" width="5.42578125" style="657" customWidth="1"/>
    <col min="1787" max="1787" width="11.42578125" style="657"/>
    <col min="1788" max="1788" width="14" style="657" customWidth="1"/>
    <col min="1789" max="1789" width="10.85546875" style="657" customWidth="1"/>
    <col min="1790" max="1790" width="10.140625" style="657" customWidth="1"/>
    <col min="1791" max="1791" width="7.7109375" style="657" customWidth="1"/>
    <col min="1792" max="1792" width="13.7109375" style="657" customWidth="1"/>
    <col min="1793" max="2039" width="11.42578125" style="657"/>
    <col min="2040" max="2040" width="6.140625" style="657" customWidth="1"/>
    <col min="2041" max="2041" width="18" style="657" customWidth="1"/>
    <col min="2042" max="2042" width="5.42578125" style="657" customWidth="1"/>
    <col min="2043" max="2043" width="11.42578125" style="657"/>
    <col min="2044" max="2044" width="14" style="657" customWidth="1"/>
    <col min="2045" max="2045" width="10.85546875" style="657" customWidth="1"/>
    <col min="2046" max="2046" width="10.140625" style="657" customWidth="1"/>
    <col min="2047" max="2047" width="7.7109375" style="657" customWidth="1"/>
    <col min="2048" max="2048" width="13.7109375" style="657" customWidth="1"/>
    <col min="2049" max="2295" width="11.42578125" style="657"/>
    <col min="2296" max="2296" width="6.140625" style="657" customWidth="1"/>
    <col min="2297" max="2297" width="18" style="657" customWidth="1"/>
    <col min="2298" max="2298" width="5.42578125" style="657" customWidth="1"/>
    <col min="2299" max="2299" width="11.42578125" style="657"/>
    <col min="2300" max="2300" width="14" style="657" customWidth="1"/>
    <col min="2301" max="2301" width="10.85546875" style="657" customWidth="1"/>
    <col min="2302" max="2302" width="10.140625" style="657" customWidth="1"/>
    <col min="2303" max="2303" width="7.7109375" style="657" customWidth="1"/>
    <col min="2304" max="2304" width="13.7109375" style="657" customWidth="1"/>
    <col min="2305" max="2551" width="11.42578125" style="657"/>
    <col min="2552" max="2552" width="6.140625" style="657" customWidth="1"/>
    <col min="2553" max="2553" width="18" style="657" customWidth="1"/>
    <col min="2554" max="2554" width="5.42578125" style="657" customWidth="1"/>
    <col min="2555" max="2555" width="11.42578125" style="657"/>
    <col min="2556" max="2556" width="14" style="657" customWidth="1"/>
    <col min="2557" max="2557" width="10.85546875" style="657" customWidth="1"/>
    <col min="2558" max="2558" width="10.140625" style="657" customWidth="1"/>
    <col min="2559" max="2559" width="7.7109375" style="657" customWidth="1"/>
    <col min="2560" max="2560" width="13.7109375" style="657" customWidth="1"/>
    <col min="2561" max="2807" width="11.42578125" style="657"/>
    <col min="2808" max="2808" width="6.140625" style="657" customWidth="1"/>
    <col min="2809" max="2809" width="18" style="657" customWidth="1"/>
    <col min="2810" max="2810" width="5.42578125" style="657" customWidth="1"/>
    <col min="2811" max="2811" width="11.42578125" style="657"/>
    <col min="2812" max="2812" width="14" style="657" customWidth="1"/>
    <col min="2813" max="2813" width="10.85546875" style="657" customWidth="1"/>
    <col min="2814" max="2814" width="10.140625" style="657" customWidth="1"/>
    <col min="2815" max="2815" width="7.7109375" style="657" customWidth="1"/>
    <col min="2816" max="2816" width="13.7109375" style="657" customWidth="1"/>
    <col min="2817" max="3063" width="11.42578125" style="657"/>
    <col min="3064" max="3064" width="6.140625" style="657" customWidth="1"/>
    <col min="3065" max="3065" width="18" style="657" customWidth="1"/>
    <col min="3066" max="3066" width="5.42578125" style="657" customWidth="1"/>
    <col min="3067" max="3067" width="11.42578125" style="657"/>
    <col min="3068" max="3068" width="14" style="657" customWidth="1"/>
    <col min="3069" max="3069" width="10.85546875" style="657" customWidth="1"/>
    <col min="3070" max="3070" width="10.140625" style="657" customWidth="1"/>
    <col min="3071" max="3071" width="7.7109375" style="657" customWidth="1"/>
    <col min="3072" max="3072" width="13.7109375" style="657" customWidth="1"/>
    <col min="3073" max="3319" width="11.42578125" style="657"/>
    <col min="3320" max="3320" width="6.140625" style="657" customWidth="1"/>
    <col min="3321" max="3321" width="18" style="657" customWidth="1"/>
    <col min="3322" max="3322" width="5.42578125" style="657" customWidth="1"/>
    <col min="3323" max="3323" width="11.42578125" style="657"/>
    <col min="3324" max="3324" width="14" style="657" customWidth="1"/>
    <col min="3325" max="3325" width="10.85546875" style="657" customWidth="1"/>
    <col min="3326" max="3326" width="10.140625" style="657" customWidth="1"/>
    <col min="3327" max="3327" width="7.7109375" style="657" customWidth="1"/>
    <col min="3328" max="3328" width="13.7109375" style="657" customWidth="1"/>
    <col min="3329" max="3575" width="11.42578125" style="657"/>
    <col min="3576" max="3576" width="6.140625" style="657" customWidth="1"/>
    <col min="3577" max="3577" width="18" style="657" customWidth="1"/>
    <col min="3578" max="3578" width="5.42578125" style="657" customWidth="1"/>
    <col min="3579" max="3579" width="11.42578125" style="657"/>
    <col min="3580" max="3580" width="14" style="657" customWidth="1"/>
    <col min="3581" max="3581" width="10.85546875" style="657" customWidth="1"/>
    <col min="3582" max="3582" width="10.140625" style="657" customWidth="1"/>
    <col min="3583" max="3583" width="7.7109375" style="657" customWidth="1"/>
    <col min="3584" max="3584" width="13.7109375" style="657" customWidth="1"/>
    <col min="3585" max="3831" width="11.42578125" style="657"/>
    <col min="3832" max="3832" width="6.140625" style="657" customWidth="1"/>
    <col min="3833" max="3833" width="18" style="657" customWidth="1"/>
    <col min="3834" max="3834" width="5.42578125" style="657" customWidth="1"/>
    <col min="3835" max="3835" width="11.42578125" style="657"/>
    <col min="3836" max="3836" width="14" style="657" customWidth="1"/>
    <col min="3837" max="3837" width="10.85546875" style="657" customWidth="1"/>
    <col min="3838" max="3838" width="10.140625" style="657" customWidth="1"/>
    <col min="3839" max="3839" width="7.7109375" style="657" customWidth="1"/>
    <col min="3840" max="3840" width="13.7109375" style="657" customWidth="1"/>
    <col min="3841" max="4087" width="11.42578125" style="657"/>
    <col min="4088" max="4088" width="6.140625" style="657" customWidth="1"/>
    <col min="4089" max="4089" width="18" style="657" customWidth="1"/>
    <col min="4090" max="4090" width="5.42578125" style="657" customWidth="1"/>
    <col min="4091" max="4091" width="11.42578125" style="657"/>
    <col min="4092" max="4092" width="14" style="657" customWidth="1"/>
    <col min="4093" max="4093" width="10.85546875" style="657" customWidth="1"/>
    <col min="4094" max="4094" width="10.140625" style="657" customWidth="1"/>
    <col min="4095" max="4095" width="7.7109375" style="657" customWidth="1"/>
    <col min="4096" max="4096" width="13.7109375" style="657" customWidth="1"/>
    <col min="4097" max="4343" width="11.42578125" style="657"/>
    <col min="4344" max="4344" width="6.140625" style="657" customWidth="1"/>
    <col min="4345" max="4345" width="18" style="657" customWidth="1"/>
    <col min="4346" max="4346" width="5.42578125" style="657" customWidth="1"/>
    <col min="4347" max="4347" width="11.42578125" style="657"/>
    <col min="4348" max="4348" width="14" style="657" customWidth="1"/>
    <col min="4349" max="4349" width="10.85546875" style="657" customWidth="1"/>
    <col min="4350" max="4350" width="10.140625" style="657" customWidth="1"/>
    <col min="4351" max="4351" width="7.7109375" style="657" customWidth="1"/>
    <col min="4352" max="4352" width="13.7109375" style="657" customWidth="1"/>
    <col min="4353" max="4599" width="11.42578125" style="657"/>
    <col min="4600" max="4600" width="6.140625" style="657" customWidth="1"/>
    <col min="4601" max="4601" width="18" style="657" customWidth="1"/>
    <col min="4602" max="4602" width="5.42578125" style="657" customWidth="1"/>
    <col min="4603" max="4603" width="11.42578125" style="657"/>
    <col min="4604" max="4604" width="14" style="657" customWidth="1"/>
    <col min="4605" max="4605" width="10.85546875" style="657" customWidth="1"/>
    <col min="4606" max="4606" width="10.140625" style="657" customWidth="1"/>
    <col min="4607" max="4607" width="7.7109375" style="657" customWidth="1"/>
    <col min="4608" max="4608" width="13.7109375" style="657" customWidth="1"/>
    <col min="4609" max="4855" width="11.42578125" style="657"/>
    <col min="4856" max="4856" width="6.140625" style="657" customWidth="1"/>
    <col min="4857" max="4857" width="18" style="657" customWidth="1"/>
    <col min="4858" max="4858" width="5.42578125" style="657" customWidth="1"/>
    <col min="4859" max="4859" width="11.42578125" style="657"/>
    <col min="4860" max="4860" width="14" style="657" customWidth="1"/>
    <col min="4861" max="4861" width="10.85546875" style="657" customWidth="1"/>
    <col min="4862" max="4862" width="10.140625" style="657" customWidth="1"/>
    <col min="4863" max="4863" width="7.7109375" style="657" customWidth="1"/>
    <col min="4864" max="4864" width="13.7109375" style="657" customWidth="1"/>
    <col min="4865" max="5111" width="11.42578125" style="657"/>
    <col min="5112" max="5112" width="6.140625" style="657" customWidth="1"/>
    <col min="5113" max="5113" width="18" style="657" customWidth="1"/>
    <col min="5114" max="5114" width="5.42578125" style="657" customWidth="1"/>
    <col min="5115" max="5115" width="11.42578125" style="657"/>
    <col min="5116" max="5116" width="14" style="657" customWidth="1"/>
    <col min="5117" max="5117" width="10.85546875" style="657" customWidth="1"/>
    <col min="5118" max="5118" width="10.140625" style="657" customWidth="1"/>
    <col min="5119" max="5119" width="7.7109375" style="657" customWidth="1"/>
    <col min="5120" max="5120" width="13.7109375" style="657" customWidth="1"/>
    <col min="5121" max="5367" width="11.42578125" style="657"/>
    <col min="5368" max="5368" width="6.140625" style="657" customWidth="1"/>
    <col min="5369" max="5369" width="18" style="657" customWidth="1"/>
    <col min="5370" max="5370" width="5.42578125" style="657" customWidth="1"/>
    <col min="5371" max="5371" width="11.42578125" style="657"/>
    <col min="5372" max="5372" width="14" style="657" customWidth="1"/>
    <col min="5373" max="5373" width="10.85546875" style="657" customWidth="1"/>
    <col min="5374" max="5374" width="10.140625" style="657" customWidth="1"/>
    <col min="5375" max="5375" width="7.7109375" style="657" customWidth="1"/>
    <col min="5376" max="5376" width="13.7109375" style="657" customWidth="1"/>
    <col min="5377" max="5623" width="11.42578125" style="657"/>
    <col min="5624" max="5624" width="6.140625" style="657" customWidth="1"/>
    <col min="5625" max="5625" width="18" style="657" customWidth="1"/>
    <col min="5626" max="5626" width="5.42578125" style="657" customWidth="1"/>
    <col min="5627" max="5627" width="11.42578125" style="657"/>
    <col min="5628" max="5628" width="14" style="657" customWidth="1"/>
    <col min="5629" max="5629" width="10.85546875" style="657" customWidth="1"/>
    <col min="5630" max="5630" width="10.140625" style="657" customWidth="1"/>
    <col min="5631" max="5631" width="7.7109375" style="657" customWidth="1"/>
    <col min="5632" max="5632" width="13.7109375" style="657" customWidth="1"/>
    <col min="5633" max="5879" width="11.42578125" style="657"/>
    <col min="5880" max="5880" width="6.140625" style="657" customWidth="1"/>
    <col min="5881" max="5881" width="18" style="657" customWidth="1"/>
    <col min="5882" max="5882" width="5.42578125" style="657" customWidth="1"/>
    <col min="5883" max="5883" width="11.42578125" style="657"/>
    <col min="5884" max="5884" width="14" style="657" customWidth="1"/>
    <col min="5885" max="5885" width="10.85546875" style="657" customWidth="1"/>
    <col min="5886" max="5886" width="10.140625" style="657" customWidth="1"/>
    <col min="5887" max="5887" width="7.7109375" style="657" customWidth="1"/>
    <col min="5888" max="5888" width="13.7109375" style="657" customWidth="1"/>
    <col min="5889" max="6135" width="11.42578125" style="657"/>
    <col min="6136" max="6136" width="6.140625" style="657" customWidth="1"/>
    <col min="6137" max="6137" width="18" style="657" customWidth="1"/>
    <col min="6138" max="6138" width="5.42578125" style="657" customWidth="1"/>
    <col min="6139" max="6139" width="11.42578125" style="657"/>
    <col min="6140" max="6140" width="14" style="657" customWidth="1"/>
    <col min="6141" max="6141" width="10.85546875" style="657" customWidth="1"/>
    <col min="6142" max="6142" width="10.140625" style="657" customWidth="1"/>
    <col min="6143" max="6143" width="7.7109375" style="657" customWidth="1"/>
    <col min="6144" max="6144" width="13.7109375" style="657" customWidth="1"/>
    <col min="6145" max="6391" width="11.42578125" style="657"/>
    <col min="6392" max="6392" width="6.140625" style="657" customWidth="1"/>
    <col min="6393" max="6393" width="18" style="657" customWidth="1"/>
    <col min="6394" max="6394" width="5.42578125" style="657" customWidth="1"/>
    <col min="6395" max="6395" width="11.42578125" style="657"/>
    <col min="6396" max="6396" width="14" style="657" customWidth="1"/>
    <col min="6397" max="6397" width="10.85546875" style="657" customWidth="1"/>
    <col min="6398" max="6398" width="10.140625" style="657" customWidth="1"/>
    <col min="6399" max="6399" width="7.7109375" style="657" customWidth="1"/>
    <col min="6400" max="6400" width="13.7109375" style="657" customWidth="1"/>
    <col min="6401" max="6647" width="11.42578125" style="657"/>
    <col min="6648" max="6648" width="6.140625" style="657" customWidth="1"/>
    <col min="6649" max="6649" width="18" style="657" customWidth="1"/>
    <col min="6650" max="6650" width="5.42578125" style="657" customWidth="1"/>
    <col min="6651" max="6651" width="11.42578125" style="657"/>
    <col min="6652" max="6652" width="14" style="657" customWidth="1"/>
    <col min="6653" max="6653" width="10.85546875" style="657" customWidth="1"/>
    <col min="6654" max="6654" width="10.140625" style="657" customWidth="1"/>
    <col min="6655" max="6655" width="7.7109375" style="657" customWidth="1"/>
    <col min="6656" max="6656" width="13.7109375" style="657" customWidth="1"/>
    <col min="6657" max="6903" width="11.42578125" style="657"/>
    <col min="6904" max="6904" width="6.140625" style="657" customWidth="1"/>
    <col min="6905" max="6905" width="18" style="657" customWidth="1"/>
    <col min="6906" max="6906" width="5.42578125" style="657" customWidth="1"/>
    <col min="6907" max="6907" width="11.42578125" style="657"/>
    <col min="6908" max="6908" width="14" style="657" customWidth="1"/>
    <col min="6909" max="6909" width="10.85546875" style="657" customWidth="1"/>
    <col min="6910" max="6910" width="10.140625" style="657" customWidth="1"/>
    <col min="6911" max="6911" width="7.7109375" style="657" customWidth="1"/>
    <col min="6912" max="6912" width="13.7109375" style="657" customWidth="1"/>
    <col min="6913" max="7159" width="11.42578125" style="657"/>
    <col min="7160" max="7160" width="6.140625" style="657" customWidth="1"/>
    <col min="7161" max="7161" width="18" style="657" customWidth="1"/>
    <col min="7162" max="7162" width="5.42578125" style="657" customWidth="1"/>
    <col min="7163" max="7163" width="11.42578125" style="657"/>
    <col min="7164" max="7164" width="14" style="657" customWidth="1"/>
    <col min="7165" max="7165" width="10.85546875" style="657" customWidth="1"/>
    <col min="7166" max="7166" width="10.140625" style="657" customWidth="1"/>
    <col min="7167" max="7167" width="7.7109375" style="657" customWidth="1"/>
    <col min="7168" max="7168" width="13.7109375" style="657" customWidth="1"/>
    <col min="7169" max="7415" width="11.42578125" style="657"/>
    <col min="7416" max="7416" width="6.140625" style="657" customWidth="1"/>
    <col min="7417" max="7417" width="18" style="657" customWidth="1"/>
    <col min="7418" max="7418" width="5.42578125" style="657" customWidth="1"/>
    <col min="7419" max="7419" width="11.42578125" style="657"/>
    <col min="7420" max="7420" width="14" style="657" customWidth="1"/>
    <col min="7421" max="7421" width="10.85546875" style="657" customWidth="1"/>
    <col min="7422" max="7422" width="10.140625" style="657" customWidth="1"/>
    <col min="7423" max="7423" width="7.7109375" style="657" customWidth="1"/>
    <col min="7424" max="7424" width="13.7109375" style="657" customWidth="1"/>
    <col min="7425" max="7671" width="11.42578125" style="657"/>
    <col min="7672" max="7672" width="6.140625" style="657" customWidth="1"/>
    <col min="7673" max="7673" width="18" style="657" customWidth="1"/>
    <col min="7674" max="7674" width="5.42578125" style="657" customWidth="1"/>
    <col min="7675" max="7675" width="11.42578125" style="657"/>
    <col min="7676" max="7676" width="14" style="657" customWidth="1"/>
    <col min="7677" max="7677" width="10.85546875" style="657" customWidth="1"/>
    <col min="7678" max="7678" width="10.140625" style="657" customWidth="1"/>
    <col min="7679" max="7679" width="7.7109375" style="657" customWidth="1"/>
    <col min="7680" max="7680" width="13.7109375" style="657" customWidth="1"/>
    <col min="7681" max="7927" width="11.42578125" style="657"/>
    <col min="7928" max="7928" width="6.140625" style="657" customWidth="1"/>
    <col min="7929" max="7929" width="18" style="657" customWidth="1"/>
    <col min="7930" max="7930" width="5.42578125" style="657" customWidth="1"/>
    <col min="7931" max="7931" width="11.42578125" style="657"/>
    <col min="7932" max="7932" width="14" style="657" customWidth="1"/>
    <col min="7933" max="7933" width="10.85546875" style="657" customWidth="1"/>
    <col min="7934" max="7934" width="10.140625" style="657" customWidth="1"/>
    <col min="7935" max="7935" width="7.7109375" style="657" customWidth="1"/>
    <col min="7936" max="7936" width="13.7109375" style="657" customWidth="1"/>
    <col min="7937" max="8183" width="11.42578125" style="657"/>
    <col min="8184" max="8184" width="6.140625" style="657" customWidth="1"/>
    <col min="8185" max="8185" width="18" style="657" customWidth="1"/>
    <col min="8186" max="8186" width="5.42578125" style="657" customWidth="1"/>
    <col min="8187" max="8187" width="11.42578125" style="657"/>
    <col min="8188" max="8188" width="14" style="657" customWidth="1"/>
    <col min="8189" max="8189" width="10.85546875" style="657" customWidth="1"/>
    <col min="8190" max="8190" width="10.140625" style="657" customWidth="1"/>
    <col min="8191" max="8191" width="7.7109375" style="657" customWidth="1"/>
    <col min="8192" max="8192" width="13.7109375" style="657" customWidth="1"/>
    <col min="8193" max="8439" width="11.42578125" style="657"/>
    <col min="8440" max="8440" width="6.140625" style="657" customWidth="1"/>
    <col min="8441" max="8441" width="18" style="657" customWidth="1"/>
    <col min="8442" max="8442" width="5.42578125" style="657" customWidth="1"/>
    <col min="8443" max="8443" width="11.42578125" style="657"/>
    <col min="8444" max="8444" width="14" style="657" customWidth="1"/>
    <col min="8445" max="8445" width="10.85546875" style="657" customWidth="1"/>
    <col min="8446" max="8446" width="10.140625" style="657" customWidth="1"/>
    <col min="8447" max="8447" width="7.7109375" style="657" customWidth="1"/>
    <col min="8448" max="8448" width="13.7109375" style="657" customWidth="1"/>
    <col min="8449" max="8695" width="11.42578125" style="657"/>
    <col min="8696" max="8696" width="6.140625" style="657" customWidth="1"/>
    <col min="8697" max="8697" width="18" style="657" customWidth="1"/>
    <col min="8698" max="8698" width="5.42578125" style="657" customWidth="1"/>
    <col min="8699" max="8699" width="11.42578125" style="657"/>
    <col min="8700" max="8700" width="14" style="657" customWidth="1"/>
    <col min="8701" max="8701" width="10.85546875" style="657" customWidth="1"/>
    <col min="8702" max="8702" width="10.140625" style="657" customWidth="1"/>
    <col min="8703" max="8703" width="7.7109375" style="657" customWidth="1"/>
    <col min="8704" max="8704" width="13.7109375" style="657" customWidth="1"/>
    <col min="8705" max="8951" width="11.42578125" style="657"/>
    <col min="8952" max="8952" width="6.140625" style="657" customWidth="1"/>
    <col min="8953" max="8953" width="18" style="657" customWidth="1"/>
    <col min="8954" max="8954" width="5.42578125" style="657" customWidth="1"/>
    <col min="8955" max="8955" width="11.42578125" style="657"/>
    <col min="8956" max="8956" width="14" style="657" customWidth="1"/>
    <col min="8957" max="8957" width="10.85546875" style="657" customWidth="1"/>
    <col min="8958" max="8958" width="10.140625" style="657" customWidth="1"/>
    <col min="8959" max="8959" width="7.7109375" style="657" customWidth="1"/>
    <col min="8960" max="8960" width="13.7109375" style="657" customWidth="1"/>
    <col min="8961" max="9207" width="11.42578125" style="657"/>
    <col min="9208" max="9208" width="6.140625" style="657" customWidth="1"/>
    <col min="9209" max="9209" width="18" style="657" customWidth="1"/>
    <col min="9210" max="9210" width="5.42578125" style="657" customWidth="1"/>
    <col min="9211" max="9211" width="11.42578125" style="657"/>
    <col min="9212" max="9212" width="14" style="657" customWidth="1"/>
    <col min="9213" max="9213" width="10.85546875" style="657" customWidth="1"/>
    <col min="9214" max="9214" width="10.140625" style="657" customWidth="1"/>
    <col min="9215" max="9215" width="7.7109375" style="657" customWidth="1"/>
    <col min="9216" max="9216" width="13.7109375" style="657" customWidth="1"/>
    <col min="9217" max="9463" width="11.42578125" style="657"/>
    <col min="9464" max="9464" width="6.140625" style="657" customWidth="1"/>
    <col min="9465" max="9465" width="18" style="657" customWidth="1"/>
    <col min="9466" max="9466" width="5.42578125" style="657" customWidth="1"/>
    <col min="9467" max="9467" width="11.42578125" style="657"/>
    <col min="9468" max="9468" width="14" style="657" customWidth="1"/>
    <col min="9469" max="9469" width="10.85546875" style="657" customWidth="1"/>
    <col min="9470" max="9470" width="10.140625" style="657" customWidth="1"/>
    <col min="9471" max="9471" width="7.7109375" style="657" customWidth="1"/>
    <col min="9472" max="9472" width="13.7109375" style="657" customWidth="1"/>
    <col min="9473" max="9719" width="11.42578125" style="657"/>
    <col min="9720" max="9720" width="6.140625" style="657" customWidth="1"/>
    <col min="9721" max="9721" width="18" style="657" customWidth="1"/>
    <col min="9722" max="9722" width="5.42578125" style="657" customWidth="1"/>
    <col min="9723" max="9723" width="11.42578125" style="657"/>
    <col min="9724" max="9724" width="14" style="657" customWidth="1"/>
    <col min="9725" max="9725" width="10.85546875" style="657" customWidth="1"/>
    <col min="9726" max="9726" width="10.140625" style="657" customWidth="1"/>
    <col min="9727" max="9727" width="7.7109375" style="657" customWidth="1"/>
    <col min="9728" max="9728" width="13.7109375" style="657" customWidth="1"/>
    <col min="9729" max="9975" width="11.42578125" style="657"/>
    <col min="9976" max="9976" width="6.140625" style="657" customWidth="1"/>
    <col min="9977" max="9977" width="18" style="657" customWidth="1"/>
    <col min="9978" max="9978" width="5.42578125" style="657" customWidth="1"/>
    <col min="9979" max="9979" width="11.42578125" style="657"/>
    <col min="9980" max="9980" width="14" style="657" customWidth="1"/>
    <col min="9981" max="9981" width="10.85546875" style="657" customWidth="1"/>
    <col min="9982" max="9982" width="10.140625" style="657" customWidth="1"/>
    <col min="9983" max="9983" width="7.7109375" style="657" customWidth="1"/>
    <col min="9984" max="9984" width="13.7109375" style="657" customWidth="1"/>
    <col min="9985" max="10231" width="11.42578125" style="657"/>
    <col min="10232" max="10232" width="6.140625" style="657" customWidth="1"/>
    <col min="10233" max="10233" width="18" style="657" customWidth="1"/>
    <col min="10234" max="10234" width="5.42578125" style="657" customWidth="1"/>
    <col min="10235" max="10235" width="11.42578125" style="657"/>
    <col min="10236" max="10236" width="14" style="657" customWidth="1"/>
    <col min="10237" max="10237" width="10.85546875" style="657" customWidth="1"/>
    <col min="10238" max="10238" width="10.140625" style="657" customWidth="1"/>
    <col min="10239" max="10239" width="7.7109375" style="657" customWidth="1"/>
    <col min="10240" max="10240" width="13.7109375" style="657" customWidth="1"/>
    <col min="10241" max="10487" width="11.42578125" style="657"/>
    <col min="10488" max="10488" width="6.140625" style="657" customWidth="1"/>
    <col min="10489" max="10489" width="18" style="657" customWidth="1"/>
    <col min="10490" max="10490" width="5.42578125" style="657" customWidth="1"/>
    <col min="10491" max="10491" width="11.42578125" style="657"/>
    <col min="10492" max="10492" width="14" style="657" customWidth="1"/>
    <col min="10493" max="10493" width="10.85546875" style="657" customWidth="1"/>
    <col min="10494" max="10494" width="10.140625" style="657" customWidth="1"/>
    <col min="10495" max="10495" width="7.7109375" style="657" customWidth="1"/>
    <col min="10496" max="10496" width="13.7109375" style="657" customWidth="1"/>
    <col min="10497" max="10743" width="11.42578125" style="657"/>
    <col min="10744" max="10744" width="6.140625" style="657" customWidth="1"/>
    <col min="10745" max="10745" width="18" style="657" customWidth="1"/>
    <col min="10746" max="10746" width="5.42578125" style="657" customWidth="1"/>
    <col min="10747" max="10747" width="11.42578125" style="657"/>
    <col min="10748" max="10748" width="14" style="657" customWidth="1"/>
    <col min="10749" max="10749" width="10.85546875" style="657" customWidth="1"/>
    <col min="10750" max="10750" width="10.140625" style="657" customWidth="1"/>
    <col min="10751" max="10751" width="7.7109375" style="657" customWidth="1"/>
    <col min="10752" max="10752" width="13.7109375" style="657" customWidth="1"/>
    <col min="10753" max="10999" width="11.42578125" style="657"/>
    <col min="11000" max="11000" width="6.140625" style="657" customWidth="1"/>
    <col min="11001" max="11001" width="18" style="657" customWidth="1"/>
    <col min="11002" max="11002" width="5.42578125" style="657" customWidth="1"/>
    <col min="11003" max="11003" width="11.42578125" style="657"/>
    <col min="11004" max="11004" width="14" style="657" customWidth="1"/>
    <col min="11005" max="11005" width="10.85546875" style="657" customWidth="1"/>
    <col min="11006" max="11006" width="10.140625" style="657" customWidth="1"/>
    <col min="11007" max="11007" width="7.7109375" style="657" customWidth="1"/>
    <col min="11008" max="11008" width="13.7109375" style="657" customWidth="1"/>
    <col min="11009" max="11255" width="11.42578125" style="657"/>
    <col min="11256" max="11256" width="6.140625" style="657" customWidth="1"/>
    <col min="11257" max="11257" width="18" style="657" customWidth="1"/>
    <col min="11258" max="11258" width="5.42578125" style="657" customWidth="1"/>
    <col min="11259" max="11259" width="11.42578125" style="657"/>
    <col min="11260" max="11260" width="14" style="657" customWidth="1"/>
    <col min="11261" max="11261" width="10.85546875" style="657" customWidth="1"/>
    <col min="11262" max="11262" width="10.140625" style="657" customWidth="1"/>
    <col min="11263" max="11263" width="7.7109375" style="657" customWidth="1"/>
    <col min="11264" max="11264" width="13.7109375" style="657" customWidth="1"/>
    <col min="11265" max="11511" width="11.42578125" style="657"/>
    <col min="11512" max="11512" width="6.140625" style="657" customWidth="1"/>
    <col min="11513" max="11513" width="18" style="657" customWidth="1"/>
    <col min="11514" max="11514" width="5.42578125" style="657" customWidth="1"/>
    <col min="11515" max="11515" width="11.42578125" style="657"/>
    <col min="11516" max="11516" width="14" style="657" customWidth="1"/>
    <col min="11517" max="11517" width="10.85546875" style="657" customWidth="1"/>
    <col min="11518" max="11518" width="10.140625" style="657" customWidth="1"/>
    <col min="11519" max="11519" width="7.7109375" style="657" customWidth="1"/>
    <col min="11520" max="11520" width="13.7109375" style="657" customWidth="1"/>
    <col min="11521" max="11767" width="11.42578125" style="657"/>
    <col min="11768" max="11768" width="6.140625" style="657" customWidth="1"/>
    <col min="11769" max="11769" width="18" style="657" customWidth="1"/>
    <col min="11770" max="11770" width="5.42578125" style="657" customWidth="1"/>
    <col min="11771" max="11771" width="11.42578125" style="657"/>
    <col min="11772" max="11772" width="14" style="657" customWidth="1"/>
    <col min="11773" max="11773" width="10.85546875" style="657" customWidth="1"/>
    <col min="11774" max="11774" width="10.140625" style="657" customWidth="1"/>
    <col min="11775" max="11775" width="7.7109375" style="657" customWidth="1"/>
    <col min="11776" max="11776" width="13.7109375" style="657" customWidth="1"/>
    <col min="11777" max="12023" width="11.42578125" style="657"/>
    <col min="12024" max="12024" width="6.140625" style="657" customWidth="1"/>
    <col min="12025" max="12025" width="18" style="657" customWidth="1"/>
    <col min="12026" max="12026" width="5.42578125" style="657" customWidth="1"/>
    <col min="12027" max="12027" width="11.42578125" style="657"/>
    <col min="12028" max="12028" width="14" style="657" customWidth="1"/>
    <col min="12029" max="12029" width="10.85546875" style="657" customWidth="1"/>
    <col min="12030" max="12030" width="10.140625" style="657" customWidth="1"/>
    <col min="12031" max="12031" width="7.7109375" style="657" customWidth="1"/>
    <col min="12032" max="12032" width="13.7109375" style="657" customWidth="1"/>
    <col min="12033" max="12279" width="11.42578125" style="657"/>
    <col min="12280" max="12280" width="6.140625" style="657" customWidth="1"/>
    <col min="12281" max="12281" width="18" style="657" customWidth="1"/>
    <col min="12282" max="12282" width="5.42578125" style="657" customWidth="1"/>
    <col min="12283" max="12283" width="11.42578125" style="657"/>
    <col min="12284" max="12284" width="14" style="657" customWidth="1"/>
    <col min="12285" max="12285" width="10.85546875" style="657" customWidth="1"/>
    <col min="12286" max="12286" width="10.140625" style="657" customWidth="1"/>
    <col min="12287" max="12287" width="7.7109375" style="657" customWidth="1"/>
    <col min="12288" max="12288" width="13.7109375" style="657" customWidth="1"/>
    <col min="12289" max="12535" width="11.42578125" style="657"/>
    <col min="12536" max="12536" width="6.140625" style="657" customWidth="1"/>
    <col min="12537" max="12537" width="18" style="657" customWidth="1"/>
    <col min="12538" max="12538" width="5.42578125" style="657" customWidth="1"/>
    <col min="12539" max="12539" width="11.42578125" style="657"/>
    <col min="12540" max="12540" width="14" style="657" customWidth="1"/>
    <col min="12541" max="12541" width="10.85546875" style="657" customWidth="1"/>
    <col min="12542" max="12542" width="10.140625" style="657" customWidth="1"/>
    <col min="12543" max="12543" width="7.7109375" style="657" customWidth="1"/>
    <col min="12544" max="12544" width="13.7109375" style="657" customWidth="1"/>
    <col min="12545" max="12791" width="11.42578125" style="657"/>
    <col min="12792" max="12792" width="6.140625" style="657" customWidth="1"/>
    <col min="12793" max="12793" width="18" style="657" customWidth="1"/>
    <col min="12794" max="12794" width="5.42578125" style="657" customWidth="1"/>
    <col min="12795" max="12795" width="11.42578125" style="657"/>
    <col min="12796" max="12796" width="14" style="657" customWidth="1"/>
    <col min="12797" max="12797" width="10.85546875" style="657" customWidth="1"/>
    <col min="12798" max="12798" width="10.140625" style="657" customWidth="1"/>
    <col min="12799" max="12799" width="7.7109375" style="657" customWidth="1"/>
    <col min="12800" max="12800" width="13.7109375" style="657" customWidth="1"/>
    <col min="12801" max="13047" width="11.42578125" style="657"/>
    <col min="13048" max="13048" width="6.140625" style="657" customWidth="1"/>
    <col min="13049" max="13049" width="18" style="657" customWidth="1"/>
    <col min="13050" max="13050" width="5.42578125" style="657" customWidth="1"/>
    <col min="13051" max="13051" width="11.42578125" style="657"/>
    <col min="13052" max="13052" width="14" style="657" customWidth="1"/>
    <col min="13053" max="13053" width="10.85546875" style="657" customWidth="1"/>
    <col min="13054" max="13054" width="10.140625" style="657" customWidth="1"/>
    <col min="13055" max="13055" width="7.7109375" style="657" customWidth="1"/>
    <col min="13056" max="13056" width="13.7109375" style="657" customWidth="1"/>
    <col min="13057" max="13303" width="11.42578125" style="657"/>
    <col min="13304" max="13304" width="6.140625" style="657" customWidth="1"/>
    <col min="13305" max="13305" width="18" style="657" customWidth="1"/>
    <col min="13306" max="13306" width="5.42578125" style="657" customWidth="1"/>
    <col min="13307" max="13307" width="11.42578125" style="657"/>
    <col min="13308" max="13308" width="14" style="657" customWidth="1"/>
    <col min="13309" max="13309" width="10.85546875" style="657" customWidth="1"/>
    <col min="13310" max="13310" width="10.140625" style="657" customWidth="1"/>
    <col min="13311" max="13311" width="7.7109375" style="657" customWidth="1"/>
    <col min="13312" max="13312" width="13.7109375" style="657" customWidth="1"/>
    <col min="13313" max="13559" width="11.42578125" style="657"/>
    <col min="13560" max="13560" width="6.140625" style="657" customWidth="1"/>
    <col min="13561" max="13561" width="18" style="657" customWidth="1"/>
    <col min="13562" max="13562" width="5.42578125" style="657" customWidth="1"/>
    <col min="13563" max="13563" width="11.42578125" style="657"/>
    <col min="13564" max="13564" width="14" style="657" customWidth="1"/>
    <col min="13565" max="13565" width="10.85546875" style="657" customWidth="1"/>
    <col min="13566" max="13566" width="10.140625" style="657" customWidth="1"/>
    <col min="13567" max="13567" width="7.7109375" style="657" customWidth="1"/>
    <col min="13568" max="13568" width="13.7109375" style="657" customWidth="1"/>
    <col min="13569" max="13815" width="11.42578125" style="657"/>
    <col min="13816" max="13816" width="6.140625" style="657" customWidth="1"/>
    <col min="13817" max="13817" width="18" style="657" customWidth="1"/>
    <col min="13818" max="13818" width="5.42578125" style="657" customWidth="1"/>
    <col min="13819" max="13819" width="11.42578125" style="657"/>
    <col min="13820" max="13820" width="14" style="657" customWidth="1"/>
    <col min="13821" max="13821" width="10.85546875" style="657" customWidth="1"/>
    <col min="13822" max="13822" width="10.140625" style="657" customWidth="1"/>
    <col min="13823" max="13823" width="7.7109375" style="657" customWidth="1"/>
    <col min="13824" max="13824" width="13.7109375" style="657" customWidth="1"/>
    <col min="13825" max="14071" width="11.42578125" style="657"/>
    <col min="14072" max="14072" width="6.140625" style="657" customWidth="1"/>
    <col min="14073" max="14073" width="18" style="657" customWidth="1"/>
    <col min="14074" max="14074" width="5.42578125" style="657" customWidth="1"/>
    <col min="14075" max="14075" width="11.42578125" style="657"/>
    <col min="14076" max="14076" width="14" style="657" customWidth="1"/>
    <col min="14077" max="14077" width="10.85546875" style="657" customWidth="1"/>
    <col min="14078" max="14078" width="10.140625" style="657" customWidth="1"/>
    <col min="14079" max="14079" width="7.7109375" style="657" customWidth="1"/>
    <col min="14080" max="14080" width="13.7109375" style="657" customWidth="1"/>
    <col min="14081" max="14327" width="11.42578125" style="657"/>
    <col min="14328" max="14328" width="6.140625" style="657" customWidth="1"/>
    <col min="14329" max="14329" width="18" style="657" customWidth="1"/>
    <col min="14330" max="14330" width="5.42578125" style="657" customWidth="1"/>
    <col min="14331" max="14331" width="11.42578125" style="657"/>
    <col min="14332" max="14332" width="14" style="657" customWidth="1"/>
    <col min="14333" max="14333" width="10.85546875" style="657" customWidth="1"/>
    <col min="14334" max="14334" width="10.140625" style="657" customWidth="1"/>
    <col min="14335" max="14335" width="7.7109375" style="657" customWidth="1"/>
    <col min="14336" max="14336" width="13.7109375" style="657" customWidth="1"/>
    <col min="14337" max="14583" width="11.42578125" style="657"/>
    <col min="14584" max="14584" width="6.140625" style="657" customWidth="1"/>
    <col min="14585" max="14585" width="18" style="657" customWidth="1"/>
    <col min="14586" max="14586" width="5.42578125" style="657" customWidth="1"/>
    <col min="14587" max="14587" width="11.42578125" style="657"/>
    <col min="14588" max="14588" width="14" style="657" customWidth="1"/>
    <col min="14589" max="14589" width="10.85546875" style="657" customWidth="1"/>
    <col min="14590" max="14590" width="10.140625" style="657" customWidth="1"/>
    <col min="14591" max="14591" width="7.7109375" style="657" customWidth="1"/>
    <col min="14592" max="14592" width="13.7109375" style="657" customWidth="1"/>
    <col min="14593" max="14839" width="11.42578125" style="657"/>
    <col min="14840" max="14840" width="6.140625" style="657" customWidth="1"/>
    <col min="14841" max="14841" width="18" style="657" customWidth="1"/>
    <col min="14842" max="14842" width="5.42578125" style="657" customWidth="1"/>
    <col min="14843" max="14843" width="11.42578125" style="657"/>
    <col min="14844" max="14844" width="14" style="657" customWidth="1"/>
    <col min="14845" max="14845" width="10.85546875" style="657" customWidth="1"/>
    <col min="14846" max="14846" width="10.140625" style="657" customWidth="1"/>
    <col min="14847" max="14847" width="7.7109375" style="657" customWidth="1"/>
    <col min="14848" max="14848" width="13.7109375" style="657" customWidth="1"/>
    <col min="14849" max="15095" width="11.42578125" style="657"/>
    <col min="15096" max="15096" width="6.140625" style="657" customWidth="1"/>
    <col min="15097" max="15097" width="18" style="657" customWidth="1"/>
    <col min="15098" max="15098" width="5.42578125" style="657" customWidth="1"/>
    <col min="15099" max="15099" width="11.42578125" style="657"/>
    <col min="15100" max="15100" width="14" style="657" customWidth="1"/>
    <col min="15101" max="15101" width="10.85546875" style="657" customWidth="1"/>
    <col min="15102" max="15102" width="10.140625" style="657" customWidth="1"/>
    <col min="15103" max="15103" width="7.7109375" style="657" customWidth="1"/>
    <col min="15104" max="15104" width="13.7109375" style="657" customWidth="1"/>
    <col min="15105" max="15351" width="11.42578125" style="657"/>
    <col min="15352" max="15352" width="6.140625" style="657" customWidth="1"/>
    <col min="15353" max="15353" width="18" style="657" customWidth="1"/>
    <col min="15354" max="15354" width="5.42578125" style="657" customWidth="1"/>
    <col min="15355" max="15355" width="11.42578125" style="657"/>
    <col min="15356" max="15356" width="14" style="657" customWidth="1"/>
    <col min="15357" max="15357" width="10.85546875" style="657" customWidth="1"/>
    <col min="15358" max="15358" width="10.140625" style="657" customWidth="1"/>
    <col min="15359" max="15359" width="7.7109375" style="657" customWidth="1"/>
    <col min="15360" max="15360" width="13.7109375" style="657" customWidth="1"/>
    <col min="15361" max="15607" width="11.42578125" style="657"/>
    <col min="15608" max="15608" width="6.140625" style="657" customWidth="1"/>
    <col min="15609" max="15609" width="18" style="657" customWidth="1"/>
    <col min="15610" max="15610" width="5.42578125" style="657" customWidth="1"/>
    <col min="15611" max="15611" width="11.42578125" style="657"/>
    <col min="15612" max="15612" width="14" style="657" customWidth="1"/>
    <col min="15613" max="15613" width="10.85546875" style="657" customWidth="1"/>
    <col min="15614" max="15614" width="10.140625" style="657" customWidth="1"/>
    <col min="15615" max="15615" width="7.7109375" style="657" customWidth="1"/>
    <col min="15616" max="15616" width="13.7109375" style="657" customWidth="1"/>
    <col min="15617" max="15863" width="11.42578125" style="657"/>
    <col min="15864" max="15864" width="6.140625" style="657" customWidth="1"/>
    <col min="15865" max="15865" width="18" style="657" customWidth="1"/>
    <col min="15866" max="15866" width="5.42578125" style="657" customWidth="1"/>
    <col min="15867" max="15867" width="11.42578125" style="657"/>
    <col min="15868" max="15868" width="14" style="657" customWidth="1"/>
    <col min="15869" max="15869" width="10.85546875" style="657" customWidth="1"/>
    <col min="15870" max="15870" width="10.140625" style="657" customWidth="1"/>
    <col min="15871" max="15871" width="7.7109375" style="657" customWidth="1"/>
    <col min="15872" max="15872" width="13.7109375" style="657" customWidth="1"/>
    <col min="15873" max="16119" width="11.42578125" style="657"/>
    <col min="16120" max="16120" width="6.140625" style="657" customWidth="1"/>
    <col min="16121" max="16121" width="18" style="657" customWidth="1"/>
    <col min="16122" max="16122" width="5.42578125" style="657" customWidth="1"/>
    <col min="16123" max="16123" width="11.42578125" style="657"/>
    <col min="16124" max="16124" width="14" style="657" customWidth="1"/>
    <col min="16125" max="16125" width="10.85546875" style="657" customWidth="1"/>
    <col min="16126" max="16126" width="10.140625" style="657" customWidth="1"/>
    <col min="16127" max="16127" width="7.7109375" style="657" customWidth="1"/>
    <col min="16128" max="16128" width="13.7109375" style="657" customWidth="1"/>
    <col min="16129" max="16384" width="11.42578125" style="657"/>
  </cols>
  <sheetData>
    <row r="1" spans="1:26" s="55" customFormat="1" ht="17.25" customHeight="1" thickBot="1" x14ac:dyDescent="0.25">
      <c r="A1" s="2648" t="s">
        <v>685</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74"/>
      <c r="Z1" s="54"/>
    </row>
    <row r="2" spans="1:26" s="55" customFormat="1" ht="23.25" customHeight="1" x14ac:dyDescent="0.2">
      <c r="A2" s="750" t="s">
        <v>930</v>
      </c>
      <c r="B2" s="751">
        <v>2022</v>
      </c>
      <c r="C2" s="399">
        <v>2021</v>
      </c>
      <c r="D2" s="399" t="s">
        <v>931</v>
      </c>
      <c r="E2" s="398">
        <v>2018</v>
      </c>
      <c r="F2" s="398">
        <v>2017</v>
      </c>
      <c r="G2" s="398">
        <v>2016</v>
      </c>
      <c r="H2" s="398">
        <v>2015</v>
      </c>
      <c r="I2" s="398" t="s">
        <v>320</v>
      </c>
      <c r="J2" s="398" t="s">
        <v>319</v>
      </c>
      <c r="K2" s="398" t="s">
        <v>267</v>
      </c>
      <c r="L2" s="398" t="s">
        <v>122</v>
      </c>
      <c r="M2" s="398" t="s">
        <v>101</v>
      </c>
      <c r="N2" s="398" t="s">
        <v>100</v>
      </c>
      <c r="O2" s="398" t="s">
        <v>99</v>
      </c>
      <c r="P2" s="398" t="s">
        <v>98</v>
      </c>
      <c r="Q2" s="398" t="s">
        <v>97</v>
      </c>
      <c r="R2" s="398" t="s">
        <v>96</v>
      </c>
      <c r="S2" s="398" t="s">
        <v>95</v>
      </c>
      <c r="T2" s="398" t="s">
        <v>175</v>
      </c>
      <c r="U2" s="398" t="s">
        <v>180</v>
      </c>
      <c r="V2" s="398" t="s">
        <v>184</v>
      </c>
      <c r="W2" s="397" t="s">
        <v>183</v>
      </c>
      <c r="X2" s="396" t="s">
        <v>182</v>
      </c>
    </row>
    <row r="3" spans="1:26" s="55" customFormat="1" ht="23.25" customHeight="1" thickBot="1" x14ac:dyDescent="0.25">
      <c r="A3" s="752" t="s">
        <v>932</v>
      </c>
      <c r="B3" s="753">
        <f>J30</f>
        <v>0.9642857142857143</v>
      </c>
      <c r="C3" s="404">
        <v>0.86839999999999995</v>
      </c>
      <c r="D3" s="404">
        <f>91/106</f>
        <v>0.85849056603773588</v>
      </c>
      <c r="E3" s="403">
        <f>47/62</f>
        <v>0.75806451612903225</v>
      </c>
      <c r="F3" s="403">
        <f>44/52</f>
        <v>0.84615384615384615</v>
      </c>
      <c r="G3" s="403">
        <f>50/72</f>
        <v>0.69444444444444442</v>
      </c>
      <c r="H3" s="403">
        <f>50/72</f>
        <v>0.69444444444444442</v>
      </c>
      <c r="I3" s="403">
        <f>64/115</f>
        <v>0.55652173913043479</v>
      </c>
      <c r="J3" s="403">
        <f>41/112</f>
        <v>0.36607142857142855</v>
      </c>
      <c r="K3" s="403">
        <f>47/62</f>
        <v>0.75806451612903225</v>
      </c>
      <c r="L3" s="403">
        <f>39/62</f>
        <v>0.62903225806451613</v>
      </c>
      <c r="M3" s="402">
        <f>56/65</f>
        <v>0.86153846153846159</v>
      </c>
      <c r="N3" s="402">
        <v>0.7077</v>
      </c>
      <c r="O3" s="402">
        <f>47/63</f>
        <v>0.74603174603174605</v>
      </c>
      <c r="P3" s="402">
        <f>102/118</f>
        <v>0.86440677966101698</v>
      </c>
      <c r="Q3" s="402">
        <f>50/51</f>
        <v>0.98039215686274506</v>
      </c>
      <c r="R3" s="402">
        <f>145/159</f>
        <v>0.91194968553459121</v>
      </c>
      <c r="S3" s="401">
        <v>0.85370000000000001</v>
      </c>
      <c r="T3" s="401">
        <v>0.80489999999999995</v>
      </c>
      <c r="U3" s="401">
        <v>0.83899999999999997</v>
      </c>
      <c r="V3" s="401">
        <v>0.80649999999999999</v>
      </c>
      <c r="W3" s="401" t="s">
        <v>686</v>
      </c>
      <c r="X3" s="400">
        <v>0.69</v>
      </c>
    </row>
    <row r="4" spans="1:26" s="55" customFormat="1" ht="23.25" customHeight="1" thickBot="1" x14ac:dyDescent="0.25">
      <c r="A4" s="754" t="s">
        <v>933</v>
      </c>
      <c r="B4" s="755">
        <f>C30</f>
        <v>21</v>
      </c>
      <c r="C4" s="755">
        <v>27</v>
      </c>
      <c r="D4" s="755">
        <v>33</v>
      </c>
      <c r="E4" s="755">
        <v>30</v>
      </c>
      <c r="F4" s="755">
        <v>23</v>
      </c>
      <c r="G4" s="755">
        <v>22</v>
      </c>
      <c r="H4" s="755">
        <v>27</v>
      </c>
      <c r="I4" s="2650">
        <v>40</v>
      </c>
      <c r="J4" s="2651"/>
      <c r="K4" s="2650">
        <v>20</v>
      </c>
      <c r="L4" s="2651"/>
      <c r="M4" s="2650">
        <v>28</v>
      </c>
      <c r="N4" s="2651"/>
      <c r="O4" s="2650"/>
      <c r="P4" s="2651"/>
      <c r="Q4" s="755"/>
      <c r="R4" s="755"/>
      <c r="S4" s="755"/>
      <c r="T4" s="755"/>
      <c r="U4" s="755"/>
      <c r="V4" s="755"/>
      <c r="W4" s="755"/>
      <c r="X4" s="755"/>
    </row>
    <row r="5" spans="1:26" s="55" customFormat="1" ht="12" customHeight="1" thickBot="1" x14ac:dyDescent="0.25">
      <c r="A5" s="405"/>
      <c r="B5" s="406"/>
      <c r="C5" s="406"/>
      <c r="D5" s="406"/>
      <c r="E5" s="696"/>
      <c r="F5" s="406"/>
      <c r="G5" s="406"/>
      <c r="H5" s="407"/>
      <c r="I5" s="407"/>
      <c r="J5" s="407"/>
      <c r="K5" s="756"/>
      <c r="L5" s="408"/>
      <c r="M5" s="408"/>
      <c r="N5" s="409"/>
      <c r="O5" s="409"/>
      <c r="P5" s="409"/>
      <c r="Q5" s="409"/>
      <c r="R5" s="409"/>
      <c r="S5" s="409"/>
      <c r="T5" s="409"/>
      <c r="U5" s="409"/>
      <c r="V5" s="409"/>
      <c r="W5" s="73"/>
      <c r="X5" s="62"/>
      <c r="Y5" s="74"/>
      <c r="Z5" s="54"/>
    </row>
    <row r="6" spans="1:26" ht="30.75" customHeight="1" thickBot="1" x14ac:dyDescent="0.3">
      <c r="B6" s="2652" t="s">
        <v>1126</v>
      </c>
      <c r="C6" s="2653"/>
      <c r="D6" s="2653"/>
      <c r="E6" s="2653"/>
      <c r="F6" s="2653"/>
      <c r="G6" s="2653"/>
      <c r="H6" s="2653"/>
      <c r="I6" s="2653"/>
      <c r="J6" s="2654"/>
      <c r="K6" s="2655" t="s">
        <v>1192</v>
      </c>
    </row>
    <row r="7" spans="1:26" ht="32.25" customHeight="1" x14ac:dyDescent="0.25">
      <c r="B7" s="2627" t="s">
        <v>79</v>
      </c>
      <c r="C7" s="2637" t="s">
        <v>605</v>
      </c>
      <c r="D7" s="2637"/>
      <c r="E7" s="2645" t="s">
        <v>1127</v>
      </c>
      <c r="F7" s="2637" t="s">
        <v>669</v>
      </c>
      <c r="G7" s="2639" t="s">
        <v>1128</v>
      </c>
      <c r="H7" s="2639"/>
      <c r="I7" s="2639"/>
      <c r="J7" s="2643" t="s">
        <v>670</v>
      </c>
      <c r="K7" s="2656"/>
    </row>
    <row r="8" spans="1:26" ht="20.25" customHeight="1" thickBot="1" x14ac:dyDescent="0.3">
      <c r="B8" s="2628"/>
      <c r="C8" s="2638"/>
      <c r="D8" s="2638"/>
      <c r="E8" s="2646"/>
      <c r="F8" s="2638"/>
      <c r="G8" s="1026" t="s">
        <v>196</v>
      </c>
      <c r="H8" s="1026" t="s">
        <v>79</v>
      </c>
      <c r="I8" s="1026" t="s">
        <v>117</v>
      </c>
      <c r="J8" s="2644"/>
      <c r="K8" s="2656"/>
    </row>
    <row r="9" spans="1:26" ht="229.5" customHeight="1" x14ac:dyDescent="0.25">
      <c r="B9" s="1015" t="s">
        <v>934</v>
      </c>
      <c r="C9" s="1016">
        <v>1</v>
      </c>
      <c r="D9" s="939" t="s">
        <v>935</v>
      </c>
      <c r="E9" s="940" t="s">
        <v>1129</v>
      </c>
      <c r="F9" s="1030" t="s">
        <v>936</v>
      </c>
      <c r="G9" s="1016">
        <v>1</v>
      </c>
      <c r="H9" s="1016">
        <v>0</v>
      </c>
      <c r="I9" s="1016">
        <f>G9+H9</f>
        <v>1</v>
      </c>
      <c r="J9" s="1022">
        <v>1</v>
      </c>
      <c r="K9" s="1001" t="s">
        <v>1193</v>
      </c>
    </row>
    <row r="10" spans="1:26" ht="92.25" customHeight="1" x14ac:dyDescent="0.25">
      <c r="B10" s="1019" t="s">
        <v>116</v>
      </c>
      <c r="C10" s="1014">
        <v>1</v>
      </c>
      <c r="D10" s="941" t="s">
        <v>1130</v>
      </c>
      <c r="E10" s="942" t="s">
        <v>1131</v>
      </c>
      <c r="F10" s="1031" t="s">
        <v>758</v>
      </c>
      <c r="G10" s="1014">
        <v>1</v>
      </c>
      <c r="H10" s="1014">
        <v>0</v>
      </c>
      <c r="I10" s="1014">
        <f>G10+H10</f>
        <v>1</v>
      </c>
      <c r="J10" s="1023">
        <f>G10/I10</f>
        <v>1</v>
      </c>
      <c r="K10" s="1032" t="s">
        <v>1235</v>
      </c>
    </row>
    <row r="11" spans="1:26" s="699" customFormat="1" ht="309.75" customHeight="1" x14ac:dyDescent="0.25">
      <c r="B11" s="943" t="s">
        <v>109</v>
      </c>
      <c r="C11" s="1014">
        <v>1</v>
      </c>
      <c r="D11" s="941" t="s">
        <v>770</v>
      </c>
      <c r="E11" s="942" t="s">
        <v>937</v>
      </c>
      <c r="F11" s="1033" t="s">
        <v>758</v>
      </c>
      <c r="G11" s="1014">
        <v>1</v>
      </c>
      <c r="H11" s="1014">
        <v>0</v>
      </c>
      <c r="I11" s="1014">
        <f>G11+H11</f>
        <v>1</v>
      </c>
      <c r="J11" s="1238">
        <v>1</v>
      </c>
      <c r="K11" s="897" t="s">
        <v>1261</v>
      </c>
    </row>
    <row r="12" spans="1:26" ht="126" customHeight="1" x14ac:dyDescent="0.25">
      <c r="B12" s="2642" t="s">
        <v>672</v>
      </c>
      <c r="C12" s="2647">
        <v>5</v>
      </c>
      <c r="D12" s="941" t="s">
        <v>938</v>
      </c>
      <c r="E12" s="944" t="s">
        <v>1132</v>
      </c>
      <c r="F12" s="1033" t="s">
        <v>606</v>
      </c>
      <c r="G12" s="1014">
        <v>1</v>
      </c>
      <c r="H12" s="1014">
        <v>0</v>
      </c>
      <c r="I12" s="1014">
        <f>G12+H12</f>
        <v>1</v>
      </c>
      <c r="J12" s="1023">
        <f>G12/I12</f>
        <v>1</v>
      </c>
      <c r="K12" s="931" t="s">
        <v>1133</v>
      </c>
    </row>
    <row r="13" spans="1:26" ht="266.25" customHeight="1" x14ac:dyDescent="0.25">
      <c r="B13" s="2642"/>
      <c r="C13" s="2647"/>
      <c r="D13" s="1021" t="s">
        <v>1134</v>
      </c>
      <c r="E13" s="944" t="s">
        <v>1135</v>
      </c>
      <c r="F13" s="1033" t="s">
        <v>763</v>
      </c>
      <c r="G13" s="1014">
        <v>0</v>
      </c>
      <c r="H13" s="1014">
        <v>1</v>
      </c>
      <c r="I13" s="1014">
        <v>1</v>
      </c>
      <c r="J13" s="1023">
        <v>0.6</v>
      </c>
      <c r="K13" s="929" t="s">
        <v>1194</v>
      </c>
    </row>
    <row r="14" spans="1:26" ht="177" customHeight="1" x14ac:dyDescent="0.25">
      <c r="B14" s="1019" t="s">
        <v>765</v>
      </c>
      <c r="C14" s="2647"/>
      <c r="D14" s="430" t="s">
        <v>1136</v>
      </c>
      <c r="E14" s="945" t="s">
        <v>1137</v>
      </c>
      <c r="F14" s="1033" t="s">
        <v>606</v>
      </c>
      <c r="G14" s="1014">
        <v>1</v>
      </c>
      <c r="H14" s="1014">
        <v>0</v>
      </c>
      <c r="I14" s="1014">
        <f>G14+H14</f>
        <v>1</v>
      </c>
      <c r="J14" s="1023">
        <v>1</v>
      </c>
      <c r="K14" s="929" t="s">
        <v>1195</v>
      </c>
    </row>
    <row r="15" spans="1:26" ht="97.5" customHeight="1" x14ac:dyDescent="0.25">
      <c r="B15" s="943" t="s">
        <v>673</v>
      </c>
      <c r="C15" s="2647"/>
      <c r="D15" s="941" t="s">
        <v>939</v>
      </c>
      <c r="E15" s="945" t="s">
        <v>1138</v>
      </c>
      <c r="F15" s="1033" t="s">
        <v>940</v>
      </c>
      <c r="G15" s="1014">
        <v>1</v>
      </c>
      <c r="H15" s="1014">
        <v>0</v>
      </c>
      <c r="I15" s="1014">
        <v>1</v>
      </c>
      <c r="J15" s="1023">
        <v>1</v>
      </c>
      <c r="K15" s="930" t="s">
        <v>1139</v>
      </c>
    </row>
    <row r="16" spans="1:26" ht="113.25" customHeight="1" x14ac:dyDescent="0.25">
      <c r="B16" s="943" t="s">
        <v>674</v>
      </c>
      <c r="C16" s="2647"/>
      <c r="D16" s="941" t="s">
        <v>1140</v>
      </c>
      <c r="E16" s="945" t="s">
        <v>941</v>
      </c>
      <c r="F16" s="1033" t="s">
        <v>758</v>
      </c>
      <c r="G16" s="1014">
        <v>1</v>
      </c>
      <c r="H16" s="1014">
        <v>0</v>
      </c>
      <c r="I16" s="1014">
        <f t="shared" ref="I16:I23" si="0">G16+H16</f>
        <v>1</v>
      </c>
      <c r="J16" s="1023">
        <v>1</v>
      </c>
      <c r="K16" s="929" t="s">
        <v>1196</v>
      </c>
    </row>
    <row r="17" spans="2:11" ht="218.25" customHeight="1" x14ac:dyDescent="0.25">
      <c r="B17" s="943" t="s">
        <v>450</v>
      </c>
      <c r="C17" s="1014">
        <v>1</v>
      </c>
      <c r="D17" s="941" t="s">
        <v>1141</v>
      </c>
      <c r="E17" s="947" t="s">
        <v>1142</v>
      </c>
      <c r="F17" s="1031" t="s">
        <v>606</v>
      </c>
      <c r="G17" s="1014">
        <v>1</v>
      </c>
      <c r="H17" s="1014">
        <v>0</v>
      </c>
      <c r="I17" s="1014">
        <f t="shared" si="0"/>
        <v>1</v>
      </c>
      <c r="J17" s="1023">
        <v>1</v>
      </c>
      <c r="K17" s="948" t="s">
        <v>1143</v>
      </c>
    </row>
    <row r="18" spans="2:11" ht="126.75" customHeight="1" x14ac:dyDescent="0.25">
      <c r="B18" s="943" t="s">
        <v>448</v>
      </c>
      <c r="C18" s="1014">
        <v>1</v>
      </c>
      <c r="D18" s="941" t="s">
        <v>942</v>
      </c>
      <c r="E18" s="944" t="s">
        <v>1144</v>
      </c>
      <c r="F18" s="1031" t="s">
        <v>936</v>
      </c>
      <c r="G18" s="1014">
        <v>1</v>
      </c>
      <c r="H18" s="1014">
        <v>0</v>
      </c>
      <c r="I18" s="1014">
        <f t="shared" si="0"/>
        <v>1</v>
      </c>
      <c r="J18" s="1024">
        <v>1</v>
      </c>
      <c r="K18" s="929" t="s">
        <v>1197</v>
      </c>
    </row>
    <row r="19" spans="2:11" s="699" customFormat="1" ht="93" customHeight="1" x14ac:dyDescent="0.25">
      <c r="B19" s="2642" t="s">
        <v>449</v>
      </c>
      <c r="C19" s="2610">
        <v>3</v>
      </c>
      <c r="D19" s="949" t="s">
        <v>943</v>
      </c>
      <c r="E19" s="944" t="s">
        <v>1145</v>
      </c>
      <c r="F19" s="1033" t="s">
        <v>936</v>
      </c>
      <c r="G19" s="1014">
        <v>1</v>
      </c>
      <c r="H19" s="1014">
        <v>0</v>
      </c>
      <c r="I19" s="1014">
        <f t="shared" si="0"/>
        <v>1</v>
      </c>
      <c r="J19" s="1023">
        <v>1</v>
      </c>
      <c r="K19" s="929" t="s">
        <v>1198</v>
      </c>
    </row>
    <row r="20" spans="2:11" ht="336.75" customHeight="1" x14ac:dyDescent="0.25">
      <c r="B20" s="2642"/>
      <c r="C20" s="2610"/>
      <c r="D20" s="949" t="s">
        <v>977</v>
      </c>
      <c r="E20" s="944" t="s">
        <v>1146</v>
      </c>
      <c r="F20" s="1033" t="s">
        <v>606</v>
      </c>
      <c r="G20" s="1014">
        <v>1</v>
      </c>
      <c r="H20" s="1014">
        <v>0</v>
      </c>
      <c r="I20" s="1014">
        <f t="shared" si="0"/>
        <v>1</v>
      </c>
      <c r="J20" s="1023">
        <v>1</v>
      </c>
      <c r="K20" s="930" t="s">
        <v>1147</v>
      </c>
    </row>
    <row r="21" spans="2:11" ht="108" customHeight="1" x14ac:dyDescent="0.25">
      <c r="B21" s="2642"/>
      <c r="C21" s="2610"/>
      <c r="D21" s="949" t="s">
        <v>1148</v>
      </c>
      <c r="E21" s="944" t="s">
        <v>1149</v>
      </c>
      <c r="F21" s="1033" t="s">
        <v>763</v>
      </c>
      <c r="G21" s="1014">
        <v>0</v>
      </c>
      <c r="H21" s="1014">
        <v>1</v>
      </c>
      <c r="I21" s="1014">
        <f t="shared" si="0"/>
        <v>1</v>
      </c>
      <c r="J21" s="1023">
        <v>0.65</v>
      </c>
      <c r="K21" s="946" t="s">
        <v>1150</v>
      </c>
    </row>
    <row r="22" spans="2:11" ht="225.75" customHeight="1" x14ac:dyDescent="0.25">
      <c r="B22" s="943" t="s">
        <v>103</v>
      </c>
      <c r="C22" s="1014">
        <v>1</v>
      </c>
      <c r="D22" s="941" t="s">
        <v>1151</v>
      </c>
      <c r="E22" s="947" t="s">
        <v>944</v>
      </c>
      <c r="F22" s="1031" t="s">
        <v>606</v>
      </c>
      <c r="G22" s="1014">
        <v>1</v>
      </c>
      <c r="H22" s="1014">
        <v>0</v>
      </c>
      <c r="I22" s="1014">
        <f t="shared" si="0"/>
        <v>1</v>
      </c>
      <c r="J22" s="1024">
        <v>1</v>
      </c>
      <c r="K22" s="929" t="s">
        <v>1199</v>
      </c>
    </row>
    <row r="23" spans="2:11" s="757" customFormat="1" ht="108.75" customHeight="1" x14ac:dyDescent="0.25">
      <c r="B23" s="1019" t="s">
        <v>1152</v>
      </c>
      <c r="C23" s="1014">
        <v>1</v>
      </c>
      <c r="D23" s="941" t="s">
        <v>1153</v>
      </c>
      <c r="E23" s="947" t="s">
        <v>1154</v>
      </c>
      <c r="F23" s="1031" t="s">
        <v>763</v>
      </c>
      <c r="G23" s="1014">
        <v>1</v>
      </c>
      <c r="H23" s="950">
        <v>0</v>
      </c>
      <c r="I23" s="1014">
        <f t="shared" si="0"/>
        <v>1</v>
      </c>
      <c r="J23" s="1024">
        <v>1</v>
      </c>
      <c r="K23" s="946" t="s">
        <v>1155</v>
      </c>
    </row>
    <row r="24" spans="2:11" ht="361.5" customHeight="1" x14ac:dyDescent="0.25">
      <c r="B24" s="943" t="s">
        <v>412</v>
      </c>
      <c r="C24" s="1014">
        <v>1</v>
      </c>
      <c r="D24" s="941" t="s">
        <v>945</v>
      </c>
      <c r="E24" s="945" t="s">
        <v>1156</v>
      </c>
      <c r="F24" s="1031" t="s">
        <v>758</v>
      </c>
      <c r="G24" s="1014">
        <v>1</v>
      </c>
      <c r="H24" s="1014">
        <v>0</v>
      </c>
      <c r="I24" s="1014">
        <v>1</v>
      </c>
      <c r="J24" s="1023">
        <v>1</v>
      </c>
      <c r="K24" s="1034" t="s">
        <v>1236</v>
      </c>
    </row>
    <row r="25" spans="2:11" ht="139.5" customHeight="1" x14ac:dyDescent="0.25">
      <c r="B25" s="943" t="s">
        <v>258</v>
      </c>
      <c r="C25" s="1014">
        <v>1</v>
      </c>
      <c r="D25" s="941" t="s">
        <v>1157</v>
      </c>
      <c r="E25" s="947" t="s">
        <v>1158</v>
      </c>
      <c r="F25" s="1031" t="s">
        <v>755</v>
      </c>
      <c r="G25" s="1014">
        <v>1</v>
      </c>
      <c r="H25" s="1014">
        <v>0</v>
      </c>
      <c r="I25" s="1014">
        <f>G25+H25</f>
        <v>1</v>
      </c>
      <c r="J25" s="1023">
        <v>1</v>
      </c>
      <c r="K25" s="929" t="s">
        <v>1237</v>
      </c>
    </row>
    <row r="26" spans="2:11" ht="409.5" customHeight="1" x14ac:dyDescent="0.25">
      <c r="B26" s="943" t="s">
        <v>107</v>
      </c>
      <c r="C26" s="1014">
        <v>1</v>
      </c>
      <c r="D26" s="941" t="s">
        <v>946</v>
      </c>
      <c r="E26" s="944" t="s">
        <v>1159</v>
      </c>
      <c r="F26" s="1033" t="s">
        <v>763</v>
      </c>
      <c r="G26" s="1014">
        <v>1</v>
      </c>
      <c r="H26" s="1014">
        <v>0</v>
      </c>
      <c r="I26" s="1014">
        <f>G26+H26</f>
        <v>1</v>
      </c>
      <c r="J26" s="1024">
        <v>1</v>
      </c>
      <c r="K26" s="1002" t="s">
        <v>1200</v>
      </c>
    </row>
    <row r="27" spans="2:11" ht="165" customHeight="1" x14ac:dyDescent="0.25">
      <c r="B27" s="943" t="s">
        <v>947</v>
      </c>
      <c r="C27" s="1014">
        <v>1</v>
      </c>
      <c r="D27" s="941" t="s">
        <v>948</v>
      </c>
      <c r="E27" s="944" t="s">
        <v>949</v>
      </c>
      <c r="F27" s="1031" t="s">
        <v>606</v>
      </c>
      <c r="G27" s="1014">
        <v>1</v>
      </c>
      <c r="H27" s="1014">
        <v>0</v>
      </c>
      <c r="I27" s="1014">
        <f>G27+H27</f>
        <v>1</v>
      </c>
      <c r="J27" s="1024">
        <v>1</v>
      </c>
      <c r="K27" s="931" t="s">
        <v>1160</v>
      </c>
    </row>
    <row r="28" spans="2:11" ht="85.5" customHeight="1" x14ac:dyDescent="0.25">
      <c r="B28" s="943" t="s">
        <v>259</v>
      </c>
      <c r="C28" s="1014">
        <v>1</v>
      </c>
      <c r="D28" s="941" t="s">
        <v>950</v>
      </c>
      <c r="E28" s="944" t="s">
        <v>1161</v>
      </c>
      <c r="F28" s="1031" t="s">
        <v>671</v>
      </c>
      <c r="G28" s="1014">
        <v>1</v>
      </c>
      <c r="H28" s="1014">
        <v>0</v>
      </c>
      <c r="I28" s="1014">
        <f>G28+H28</f>
        <v>1</v>
      </c>
      <c r="J28" s="1024">
        <v>1</v>
      </c>
      <c r="K28" s="931" t="s">
        <v>1162</v>
      </c>
    </row>
    <row r="29" spans="2:11" ht="149.25" customHeight="1" thickBot="1" x14ac:dyDescent="0.3">
      <c r="B29" s="951" t="s">
        <v>1163</v>
      </c>
      <c r="C29" s="1017">
        <v>1</v>
      </c>
      <c r="D29" s="952" t="s">
        <v>1164</v>
      </c>
      <c r="E29" s="953" t="s">
        <v>1165</v>
      </c>
      <c r="F29" s="1035" t="s">
        <v>671</v>
      </c>
      <c r="G29" s="1017">
        <v>1</v>
      </c>
      <c r="H29" s="1017">
        <v>0</v>
      </c>
      <c r="I29" s="1017">
        <f>G29+H29</f>
        <v>1</v>
      </c>
      <c r="J29" s="1025">
        <v>1</v>
      </c>
      <c r="K29" s="954" t="s">
        <v>1166</v>
      </c>
    </row>
    <row r="30" spans="2:11" ht="27" customHeight="1" thickBot="1" x14ac:dyDescent="0.3">
      <c r="B30" s="454"/>
      <c r="C30" s="455">
        <f>SUM(C9:C29)</f>
        <v>21</v>
      </c>
      <c r="D30" s="456"/>
      <c r="E30" s="457"/>
      <c r="F30" s="457"/>
      <c r="G30" s="758">
        <f>SUM(G9:G29)</f>
        <v>19</v>
      </c>
      <c r="H30" s="758">
        <f>SUM(H9:H29)</f>
        <v>2</v>
      </c>
      <c r="I30" s="758">
        <f>SUM(I9:I29)</f>
        <v>21</v>
      </c>
      <c r="J30" s="955">
        <f>AVERAGE(J9:J29)</f>
        <v>0.9642857142857143</v>
      </c>
      <c r="K30" s="1258">
        <f>G30/I30</f>
        <v>0.90476190476190477</v>
      </c>
    </row>
    <row r="31" spans="2:11" ht="15.75" thickBot="1" x14ac:dyDescent="0.3">
      <c r="C31" s="427"/>
      <c r="G31" s="427"/>
      <c r="H31" s="427"/>
      <c r="I31" s="427"/>
    </row>
    <row r="32" spans="2:11" ht="165.75" customHeight="1" thickBot="1" x14ac:dyDescent="0.3">
      <c r="B32" s="2629" t="s">
        <v>1262</v>
      </c>
      <c r="C32" s="2630"/>
      <c r="D32" s="2630"/>
      <c r="E32" s="2630"/>
      <c r="F32" s="2630"/>
      <c r="G32" s="2630"/>
      <c r="H32" s="2630"/>
      <c r="I32" s="2630"/>
      <c r="J32" s="2631"/>
    </row>
    <row r="33" spans="2:11" ht="69.75" customHeight="1" thickBot="1" x14ac:dyDescent="0.3">
      <c r="C33" s="427"/>
      <c r="G33" s="427"/>
      <c r="H33" s="427"/>
      <c r="I33" s="427"/>
    </row>
    <row r="34" spans="2:11" ht="56.25" customHeight="1" thickBot="1" x14ac:dyDescent="0.3">
      <c r="B34" s="2632" t="s">
        <v>748</v>
      </c>
      <c r="C34" s="2633"/>
      <c r="D34" s="2633"/>
      <c r="E34" s="2633"/>
      <c r="F34" s="2633"/>
      <c r="G34" s="2633"/>
      <c r="H34" s="2633"/>
      <c r="I34" s="2634"/>
      <c r="J34" s="2635" t="s">
        <v>224</v>
      </c>
      <c r="K34" s="2636"/>
    </row>
    <row r="35" spans="2:11" ht="32.25" customHeight="1" x14ac:dyDescent="0.25">
      <c r="B35" s="2627" t="s">
        <v>79</v>
      </c>
      <c r="C35" s="2637" t="s">
        <v>605</v>
      </c>
      <c r="D35" s="2637"/>
      <c r="E35" s="2637" t="s">
        <v>669</v>
      </c>
      <c r="F35" s="2639" t="s">
        <v>787</v>
      </c>
      <c r="G35" s="2639"/>
      <c r="H35" s="2639"/>
      <c r="I35" s="2640" t="s">
        <v>951</v>
      </c>
      <c r="J35" s="2635"/>
      <c r="K35" s="2636"/>
    </row>
    <row r="36" spans="2:11" ht="20.25" customHeight="1" thickBot="1" x14ac:dyDescent="0.3">
      <c r="B36" s="2628"/>
      <c r="C36" s="2638"/>
      <c r="D36" s="2638"/>
      <c r="E36" s="2638"/>
      <c r="F36" s="1026" t="s">
        <v>196</v>
      </c>
      <c r="G36" s="1026" t="s">
        <v>79</v>
      </c>
      <c r="H36" s="1026" t="s">
        <v>117</v>
      </c>
      <c r="I36" s="2641"/>
      <c r="J36" s="956"/>
    </row>
    <row r="37" spans="2:11" ht="80.25" customHeight="1" x14ac:dyDescent="0.25">
      <c r="B37" s="2600" t="s">
        <v>181</v>
      </c>
      <c r="C37" s="2602">
        <v>2</v>
      </c>
      <c r="D37" s="430" t="s">
        <v>778</v>
      </c>
      <c r="E37" s="2604" t="s">
        <v>763</v>
      </c>
      <c r="F37" s="1016">
        <v>4</v>
      </c>
      <c r="G37" s="1016">
        <v>0</v>
      </c>
      <c r="H37" s="1016">
        <f>F37+G37</f>
        <v>4</v>
      </c>
      <c r="I37" s="2611">
        <f>F39/H39</f>
        <v>1</v>
      </c>
      <c r="J37" s="2598" t="s">
        <v>975</v>
      </c>
      <c r="K37" s="2599"/>
    </row>
    <row r="38" spans="2:11" ht="46.5" customHeight="1" x14ac:dyDescent="0.25">
      <c r="B38" s="2618"/>
      <c r="C38" s="2619"/>
      <c r="D38" s="666" t="s">
        <v>799</v>
      </c>
      <c r="E38" s="2620"/>
      <c r="F38" s="1020">
        <v>1</v>
      </c>
      <c r="G38" s="1020">
        <v>0</v>
      </c>
      <c r="H38" s="1014">
        <f>F38+G38</f>
        <v>1</v>
      </c>
      <c r="I38" s="2622"/>
      <c r="J38" s="2608" t="s">
        <v>952</v>
      </c>
      <c r="K38" s="2609"/>
    </row>
    <row r="39" spans="2:11" ht="14.25" customHeight="1" thickBot="1" x14ac:dyDescent="0.3">
      <c r="B39" s="2612"/>
      <c r="C39" s="2610"/>
      <c r="D39" s="451" t="s">
        <v>117</v>
      </c>
      <c r="E39" s="2621"/>
      <c r="F39" s="453">
        <f>F37+F38</f>
        <v>5</v>
      </c>
      <c r="G39" s="453">
        <f>G37+G38</f>
        <v>0</v>
      </c>
      <c r="H39" s="453">
        <f>H37+H38</f>
        <v>5</v>
      </c>
      <c r="I39" s="2596"/>
      <c r="J39" s="956"/>
    </row>
    <row r="40" spans="2:11" ht="38.25" customHeight="1" thickBot="1" x14ac:dyDescent="0.3">
      <c r="B40" s="2600" t="s">
        <v>87</v>
      </c>
      <c r="C40" s="2602">
        <v>2</v>
      </c>
      <c r="D40" s="450" t="s">
        <v>757</v>
      </c>
      <c r="E40" s="450" t="s">
        <v>606</v>
      </c>
      <c r="F40" s="1016">
        <v>1</v>
      </c>
      <c r="G40" s="1016">
        <v>0</v>
      </c>
      <c r="H40" s="1016">
        <f>F40+G40</f>
        <v>1</v>
      </c>
      <c r="I40" s="2611">
        <f>F42/H42</f>
        <v>0.5</v>
      </c>
      <c r="J40" s="2608" t="s">
        <v>847</v>
      </c>
      <c r="K40" s="2609"/>
    </row>
    <row r="41" spans="2:11" ht="42.75" customHeight="1" x14ac:dyDescent="0.25">
      <c r="B41" s="2613"/>
      <c r="C41" s="2614"/>
      <c r="D41" s="658" t="s">
        <v>759</v>
      </c>
      <c r="E41" s="658" t="s">
        <v>671</v>
      </c>
      <c r="F41" s="1016">
        <v>0</v>
      </c>
      <c r="G41" s="1016">
        <v>1</v>
      </c>
      <c r="H41" s="1018">
        <v>1</v>
      </c>
      <c r="I41" s="2622"/>
      <c r="J41" s="2608" t="s">
        <v>953</v>
      </c>
      <c r="K41" s="2609"/>
    </row>
    <row r="42" spans="2:11" ht="16.5" customHeight="1" thickBot="1" x14ac:dyDescent="0.3">
      <c r="B42" s="2601"/>
      <c r="C42" s="2603"/>
      <c r="D42" s="451" t="s">
        <v>117</v>
      </c>
      <c r="E42" s="451"/>
      <c r="F42" s="453">
        <f>F40+F41</f>
        <v>1</v>
      </c>
      <c r="G42" s="453">
        <f>G40+G41</f>
        <v>1</v>
      </c>
      <c r="H42" s="453">
        <f>H40+H41</f>
        <v>2</v>
      </c>
      <c r="I42" s="2596"/>
    </row>
    <row r="43" spans="2:11" ht="80.25" customHeight="1" thickBot="1" x14ac:dyDescent="0.3">
      <c r="B43" s="2600" t="s">
        <v>82</v>
      </c>
      <c r="C43" s="2602">
        <v>2</v>
      </c>
      <c r="D43" s="450" t="s">
        <v>773</v>
      </c>
      <c r="E43" s="450" t="s">
        <v>758</v>
      </c>
      <c r="F43" s="1016">
        <v>1</v>
      </c>
      <c r="G43" s="1016">
        <v>0</v>
      </c>
      <c r="H43" s="1016">
        <f>F43+G43</f>
        <v>1</v>
      </c>
      <c r="I43" s="2606">
        <f>F45/H45</f>
        <v>1</v>
      </c>
      <c r="J43" s="2598" t="s">
        <v>954</v>
      </c>
      <c r="K43" s="2599"/>
    </row>
    <row r="44" spans="2:11" ht="44.25" customHeight="1" x14ac:dyDescent="0.25">
      <c r="B44" s="2612"/>
      <c r="C44" s="2610"/>
      <c r="D44" s="450" t="s">
        <v>751</v>
      </c>
      <c r="E44" s="430" t="s">
        <v>606</v>
      </c>
      <c r="F44" s="1014">
        <v>1</v>
      </c>
      <c r="G44" s="1014">
        <v>0</v>
      </c>
      <c r="H44" s="1014">
        <f>F44+G44</f>
        <v>1</v>
      </c>
      <c r="I44" s="2617"/>
      <c r="J44" s="2608" t="s">
        <v>955</v>
      </c>
      <c r="K44" s="2609"/>
    </row>
    <row r="45" spans="2:11" ht="14.25" customHeight="1" thickBot="1" x14ac:dyDescent="0.3">
      <c r="B45" s="2601"/>
      <c r="C45" s="2603"/>
      <c r="D45" s="451" t="s">
        <v>117</v>
      </c>
      <c r="E45" s="451"/>
      <c r="F45" s="453">
        <f>F43+F44</f>
        <v>2</v>
      </c>
      <c r="G45" s="453">
        <f>G43+G44</f>
        <v>0</v>
      </c>
      <c r="H45" s="453">
        <f>H43+H44</f>
        <v>2</v>
      </c>
      <c r="I45" s="2607"/>
      <c r="J45" s="956"/>
    </row>
    <row r="46" spans="2:11" ht="60" customHeight="1" x14ac:dyDescent="0.25">
      <c r="B46" s="2600" t="s">
        <v>474</v>
      </c>
      <c r="C46" s="2602">
        <v>1</v>
      </c>
      <c r="D46" s="450" t="s">
        <v>771</v>
      </c>
      <c r="E46" s="2604" t="s">
        <v>772</v>
      </c>
      <c r="F46" s="1016">
        <v>1</v>
      </c>
      <c r="G46" s="1016">
        <v>0</v>
      </c>
      <c r="H46" s="1016">
        <f>F46+G46</f>
        <v>1</v>
      </c>
      <c r="I46" s="2606">
        <f>F47/H47</f>
        <v>1</v>
      </c>
      <c r="J46" s="2608" t="s">
        <v>1167</v>
      </c>
      <c r="K46" s="2609"/>
    </row>
    <row r="47" spans="2:11" ht="14.25" customHeight="1" thickBot="1" x14ac:dyDescent="0.3">
      <c r="B47" s="2601"/>
      <c r="C47" s="2603"/>
      <c r="D47" s="451" t="s">
        <v>117</v>
      </c>
      <c r="E47" s="2605"/>
      <c r="F47" s="452">
        <f>F46</f>
        <v>1</v>
      </c>
      <c r="G47" s="452">
        <f>G46</f>
        <v>0</v>
      </c>
      <c r="H47" s="452">
        <f>H46</f>
        <v>1</v>
      </c>
      <c r="I47" s="2607"/>
      <c r="J47" s="956"/>
    </row>
    <row r="48" spans="2:11" ht="39" customHeight="1" x14ac:dyDescent="0.25">
      <c r="B48" s="2600" t="s">
        <v>672</v>
      </c>
      <c r="C48" s="2602">
        <v>4</v>
      </c>
      <c r="D48" s="450" t="s">
        <v>767</v>
      </c>
      <c r="E48" s="450" t="s">
        <v>763</v>
      </c>
      <c r="F48" s="1016">
        <v>0</v>
      </c>
      <c r="G48" s="1016">
        <v>1</v>
      </c>
      <c r="H48" s="1016">
        <f>F48+G48</f>
        <v>1</v>
      </c>
      <c r="I48" s="2611">
        <f>F49/H49</f>
        <v>0</v>
      </c>
      <c r="J48" s="2598" t="s">
        <v>956</v>
      </c>
      <c r="K48" s="2599"/>
    </row>
    <row r="49" spans="1:11" ht="14.25" customHeight="1" thickBot="1" x14ac:dyDescent="0.3">
      <c r="B49" s="2612"/>
      <c r="C49" s="2610"/>
      <c r="D49" s="430" t="s">
        <v>117</v>
      </c>
      <c r="E49" s="430"/>
      <c r="F49" s="452">
        <f>F48</f>
        <v>0</v>
      </c>
      <c r="G49" s="452">
        <f>G48</f>
        <v>1</v>
      </c>
      <c r="H49" s="452">
        <f>H48</f>
        <v>1</v>
      </c>
      <c r="I49" s="2596"/>
      <c r="J49" s="956"/>
    </row>
    <row r="50" spans="1:11" ht="23.25" customHeight="1" x14ac:dyDescent="0.25">
      <c r="B50" s="2612" t="s">
        <v>765</v>
      </c>
      <c r="C50" s="2610"/>
      <c r="D50" s="430" t="s">
        <v>764</v>
      </c>
      <c r="E50" s="430" t="s">
        <v>671</v>
      </c>
      <c r="F50" s="1014">
        <v>1</v>
      </c>
      <c r="G50" s="1014">
        <v>0</v>
      </c>
      <c r="H50" s="1014">
        <f>F50+G50</f>
        <v>1</v>
      </c>
      <c r="I50" s="2596">
        <f>F51/H51</f>
        <v>1</v>
      </c>
      <c r="J50" s="2598" t="s">
        <v>957</v>
      </c>
      <c r="K50" s="2599"/>
    </row>
    <row r="51" spans="1:11" ht="14.25" customHeight="1" thickBot="1" x14ac:dyDescent="0.3">
      <c r="B51" s="2612"/>
      <c r="C51" s="2610"/>
      <c r="D51" s="430" t="s">
        <v>117</v>
      </c>
      <c r="E51" s="430"/>
      <c r="F51" s="452">
        <f>F50</f>
        <v>1</v>
      </c>
      <c r="G51" s="452">
        <f>G50</f>
        <v>0</v>
      </c>
      <c r="H51" s="452">
        <f>H50</f>
        <v>1</v>
      </c>
      <c r="I51" s="2596"/>
      <c r="J51" s="956"/>
    </row>
    <row r="52" spans="1:11" ht="33" customHeight="1" x14ac:dyDescent="0.25">
      <c r="B52" s="2612" t="s">
        <v>673</v>
      </c>
      <c r="C52" s="2610"/>
      <c r="D52" s="430" t="s">
        <v>752</v>
      </c>
      <c r="E52" s="430" t="s">
        <v>753</v>
      </c>
      <c r="F52" s="1014">
        <v>4</v>
      </c>
      <c r="G52" s="1014">
        <v>0</v>
      </c>
      <c r="H52" s="1014">
        <f>F52+G52</f>
        <v>4</v>
      </c>
      <c r="I52" s="2596">
        <f>F53/H53</f>
        <v>1</v>
      </c>
      <c r="J52" s="2598" t="s">
        <v>958</v>
      </c>
      <c r="K52" s="2599"/>
    </row>
    <row r="53" spans="1:11" ht="14.25" customHeight="1" thickBot="1" x14ac:dyDescent="0.3">
      <c r="B53" s="2612"/>
      <c r="C53" s="2610"/>
      <c r="D53" s="430" t="s">
        <v>117</v>
      </c>
      <c r="E53" s="430"/>
      <c r="F53" s="452">
        <f>F52</f>
        <v>4</v>
      </c>
      <c r="G53" s="452">
        <f>G52</f>
        <v>0</v>
      </c>
      <c r="H53" s="452">
        <f>H52</f>
        <v>4</v>
      </c>
      <c r="I53" s="2596"/>
      <c r="J53" s="956"/>
    </row>
    <row r="54" spans="1:11" ht="33.75" customHeight="1" x14ac:dyDescent="0.25">
      <c r="B54" s="2612" t="s">
        <v>674</v>
      </c>
      <c r="C54" s="2610"/>
      <c r="D54" s="430" t="s">
        <v>766</v>
      </c>
      <c r="E54" s="430" t="s">
        <v>758</v>
      </c>
      <c r="F54" s="1014">
        <v>0</v>
      </c>
      <c r="G54" s="1014">
        <v>1</v>
      </c>
      <c r="H54" s="1014">
        <f>F54+G54</f>
        <v>1</v>
      </c>
      <c r="I54" s="2596">
        <f>F55/H55</f>
        <v>0</v>
      </c>
      <c r="J54" s="2598" t="s">
        <v>959</v>
      </c>
      <c r="K54" s="2599"/>
    </row>
    <row r="55" spans="1:11" ht="14.25" customHeight="1" thickBot="1" x14ac:dyDescent="0.3">
      <c r="B55" s="2601"/>
      <c r="C55" s="2603"/>
      <c r="D55" s="451" t="s">
        <v>117</v>
      </c>
      <c r="E55" s="451"/>
      <c r="F55" s="452">
        <f>F54</f>
        <v>0</v>
      </c>
      <c r="G55" s="452">
        <f>G54</f>
        <v>1</v>
      </c>
      <c r="H55" s="452">
        <f>H54</f>
        <v>1</v>
      </c>
      <c r="I55" s="2597"/>
      <c r="J55" s="956"/>
    </row>
    <row r="56" spans="1:11" ht="37.5" customHeight="1" x14ac:dyDescent="0.25">
      <c r="B56" s="2600" t="s">
        <v>478</v>
      </c>
      <c r="C56" s="2602">
        <v>1</v>
      </c>
      <c r="D56" s="450" t="s">
        <v>774</v>
      </c>
      <c r="E56" s="2604" t="s">
        <v>606</v>
      </c>
      <c r="F56" s="1016">
        <v>1</v>
      </c>
      <c r="G56" s="1016">
        <v>0</v>
      </c>
      <c r="H56" s="1016">
        <f>F56+G56</f>
        <v>1</v>
      </c>
      <c r="I56" s="2606">
        <f>F57/H57</f>
        <v>1</v>
      </c>
      <c r="J56" s="2598" t="s">
        <v>972</v>
      </c>
      <c r="K56" s="2599"/>
    </row>
    <row r="57" spans="1:11" ht="14.25" customHeight="1" thickBot="1" x14ac:dyDescent="0.3">
      <c r="B57" s="2601"/>
      <c r="C57" s="2603"/>
      <c r="D57" s="451" t="s">
        <v>117</v>
      </c>
      <c r="E57" s="2605"/>
      <c r="F57" s="452">
        <f>F56</f>
        <v>1</v>
      </c>
      <c r="G57" s="452">
        <f>G56</f>
        <v>0</v>
      </c>
      <c r="H57" s="452">
        <f>H56</f>
        <v>1</v>
      </c>
      <c r="I57" s="2607"/>
      <c r="J57" s="956"/>
    </row>
    <row r="58" spans="1:11" ht="72.75" customHeight="1" x14ac:dyDescent="0.25">
      <c r="A58" s="699"/>
      <c r="B58" s="2600" t="s">
        <v>476</v>
      </c>
      <c r="C58" s="2602">
        <v>1</v>
      </c>
      <c r="D58" s="450" t="s">
        <v>775</v>
      </c>
      <c r="E58" s="2604" t="s">
        <v>763</v>
      </c>
      <c r="F58" s="1016">
        <v>1</v>
      </c>
      <c r="G58" s="1016">
        <v>0</v>
      </c>
      <c r="H58" s="1016">
        <f>F58+G58</f>
        <v>1</v>
      </c>
      <c r="I58" s="2606">
        <f>F59/H59</f>
        <v>1</v>
      </c>
      <c r="J58" s="2598" t="s">
        <v>960</v>
      </c>
      <c r="K58" s="2599"/>
    </row>
    <row r="59" spans="1:11" ht="46.5" customHeight="1" thickBot="1" x14ac:dyDescent="0.3">
      <c r="A59" s="699"/>
      <c r="B59" s="2601"/>
      <c r="C59" s="2603"/>
      <c r="D59" s="451" t="s">
        <v>117</v>
      </c>
      <c r="E59" s="2605"/>
      <c r="F59" s="452">
        <f>F58</f>
        <v>1</v>
      </c>
      <c r="G59" s="452">
        <f>G58</f>
        <v>0</v>
      </c>
      <c r="H59" s="452">
        <f>H58</f>
        <v>1</v>
      </c>
      <c r="I59" s="2607"/>
      <c r="J59" s="2608" t="s">
        <v>961</v>
      </c>
      <c r="K59" s="2609"/>
    </row>
    <row r="60" spans="1:11" ht="45" customHeight="1" thickBot="1" x14ac:dyDescent="0.3">
      <c r="B60" s="2600" t="s">
        <v>477</v>
      </c>
      <c r="C60" s="2602">
        <v>3</v>
      </c>
      <c r="D60" s="450" t="s">
        <v>749</v>
      </c>
      <c r="E60" s="450" t="s">
        <v>665</v>
      </c>
      <c r="F60" s="1016">
        <v>1</v>
      </c>
      <c r="G60" s="1016">
        <v>0</v>
      </c>
      <c r="H60" s="1016">
        <f>F60+G60</f>
        <v>1</v>
      </c>
      <c r="I60" s="2611">
        <f>F63/H63</f>
        <v>1</v>
      </c>
      <c r="J60" s="2598" t="s">
        <v>962</v>
      </c>
      <c r="K60" s="2599"/>
    </row>
    <row r="61" spans="1:11" ht="64.5" customHeight="1" x14ac:dyDescent="0.25">
      <c r="B61" s="2612"/>
      <c r="C61" s="2610"/>
      <c r="D61" s="450" t="s">
        <v>750</v>
      </c>
      <c r="E61" s="430" t="s">
        <v>761</v>
      </c>
      <c r="F61" s="1014">
        <v>1</v>
      </c>
      <c r="G61" s="1014">
        <v>0</v>
      </c>
      <c r="H61" s="1014">
        <f>F61+G61</f>
        <v>1</v>
      </c>
      <c r="I61" s="2596"/>
      <c r="J61" s="2598" t="s">
        <v>963</v>
      </c>
      <c r="K61" s="2599"/>
    </row>
    <row r="62" spans="1:11" ht="47.25" customHeight="1" x14ac:dyDescent="0.25">
      <c r="B62" s="2612"/>
      <c r="C62" s="2610"/>
      <c r="D62" s="695" t="s">
        <v>768</v>
      </c>
      <c r="E62" s="657" t="s">
        <v>758</v>
      </c>
      <c r="F62" s="1014">
        <v>1</v>
      </c>
      <c r="G62" s="1014">
        <v>0</v>
      </c>
      <c r="H62" s="1014">
        <f>F62+G62</f>
        <v>1</v>
      </c>
      <c r="I62" s="2596"/>
      <c r="J62" s="2608" t="s">
        <v>964</v>
      </c>
      <c r="K62" s="2609"/>
    </row>
    <row r="63" spans="1:11" ht="14.25" customHeight="1" thickBot="1" x14ac:dyDescent="0.3">
      <c r="B63" s="2601"/>
      <c r="C63" s="2603"/>
      <c r="D63" s="451" t="s">
        <v>117</v>
      </c>
      <c r="E63" s="451"/>
      <c r="F63" s="452">
        <f>SUM(F60:F62)</f>
        <v>3</v>
      </c>
      <c r="G63" s="452">
        <f>SUM(G60:G62)</f>
        <v>0</v>
      </c>
      <c r="H63" s="452">
        <f>SUM(H60:H62)</f>
        <v>3</v>
      </c>
      <c r="I63" s="2597"/>
      <c r="J63" s="956"/>
    </row>
    <row r="64" spans="1:11" ht="27.75" customHeight="1" x14ac:dyDescent="0.25">
      <c r="B64" s="2600" t="s">
        <v>81</v>
      </c>
      <c r="C64" s="2602">
        <v>1</v>
      </c>
      <c r="D64" s="450" t="s">
        <v>846</v>
      </c>
      <c r="E64" s="2604" t="s">
        <v>666</v>
      </c>
      <c r="F64" s="1016">
        <v>1</v>
      </c>
      <c r="G64" s="1016">
        <v>0</v>
      </c>
      <c r="H64" s="1016">
        <f>F64+G64</f>
        <v>1</v>
      </c>
      <c r="I64" s="2606">
        <f>F65/H65</f>
        <v>1</v>
      </c>
      <c r="J64" s="2608" t="s">
        <v>848</v>
      </c>
      <c r="K64" s="2609"/>
    </row>
    <row r="65" spans="2:11" ht="14.25" customHeight="1" thickBot="1" x14ac:dyDescent="0.3">
      <c r="B65" s="2601"/>
      <c r="C65" s="2603"/>
      <c r="D65" s="451" t="s">
        <v>117</v>
      </c>
      <c r="E65" s="2605"/>
      <c r="F65" s="452">
        <f>F64</f>
        <v>1</v>
      </c>
      <c r="G65" s="452">
        <f>G64</f>
        <v>0</v>
      </c>
      <c r="H65" s="452">
        <f>H64</f>
        <v>1</v>
      </c>
      <c r="I65" s="2607"/>
      <c r="J65" s="956"/>
    </row>
    <row r="66" spans="2:11" ht="39.75" customHeight="1" x14ac:dyDescent="0.25">
      <c r="B66" s="2600" t="s">
        <v>185</v>
      </c>
      <c r="C66" s="2602">
        <v>1</v>
      </c>
      <c r="D66" s="450" t="s">
        <v>762</v>
      </c>
      <c r="E66" s="2604" t="s">
        <v>763</v>
      </c>
      <c r="F66" s="1016">
        <v>1</v>
      </c>
      <c r="G66" s="654">
        <v>0</v>
      </c>
      <c r="H66" s="1016">
        <f>F66+G66</f>
        <v>1</v>
      </c>
      <c r="I66" s="2606">
        <f>F67/H67</f>
        <v>1</v>
      </c>
      <c r="J66" s="2608" t="s">
        <v>849</v>
      </c>
      <c r="K66" s="2609"/>
    </row>
    <row r="67" spans="2:11" ht="14.25" customHeight="1" thickBot="1" x14ac:dyDescent="0.3">
      <c r="B67" s="2601"/>
      <c r="C67" s="2603"/>
      <c r="D67" s="451" t="s">
        <v>117</v>
      </c>
      <c r="E67" s="2605"/>
      <c r="F67" s="452">
        <f>F66</f>
        <v>1</v>
      </c>
      <c r="G67" s="452">
        <f>G66</f>
        <v>0</v>
      </c>
      <c r="H67" s="452">
        <f>H66</f>
        <v>1</v>
      </c>
      <c r="I67" s="2607"/>
      <c r="J67" s="956"/>
    </row>
    <row r="68" spans="2:11" ht="80.25" customHeight="1" thickBot="1" x14ac:dyDescent="0.3">
      <c r="B68" s="2600" t="s">
        <v>475</v>
      </c>
      <c r="C68" s="2602">
        <v>2</v>
      </c>
      <c r="D68" s="450" t="s">
        <v>844</v>
      </c>
      <c r="E68" s="2604" t="s">
        <v>758</v>
      </c>
      <c r="F68" s="1016">
        <v>2</v>
      </c>
      <c r="G68" s="1016">
        <v>0</v>
      </c>
      <c r="H68" s="1016">
        <f>F68+G68</f>
        <v>2</v>
      </c>
      <c r="I68" s="2606">
        <f>F70/H70</f>
        <v>0.66666666666666663</v>
      </c>
      <c r="J68" s="2598" t="s">
        <v>965</v>
      </c>
      <c r="K68" s="2599"/>
    </row>
    <row r="69" spans="2:11" ht="57.75" customHeight="1" x14ac:dyDescent="0.25">
      <c r="B69" s="2613"/>
      <c r="C69" s="2614"/>
      <c r="D69" s="450" t="s">
        <v>845</v>
      </c>
      <c r="E69" s="2615"/>
      <c r="F69" s="1018">
        <v>0</v>
      </c>
      <c r="G69" s="1018">
        <v>1</v>
      </c>
      <c r="H69" s="1016">
        <f>F69+G69</f>
        <v>1</v>
      </c>
      <c r="I69" s="2626"/>
      <c r="J69" s="2598" t="s">
        <v>966</v>
      </c>
      <c r="K69" s="2599"/>
    </row>
    <row r="70" spans="2:11" ht="14.25" customHeight="1" thickBot="1" x14ac:dyDescent="0.3">
      <c r="B70" s="2601"/>
      <c r="C70" s="2603"/>
      <c r="D70" s="451" t="s">
        <v>117</v>
      </c>
      <c r="E70" s="2605"/>
      <c r="F70" s="453">
        <f>F68+F69</f>
        <v>2</v>
      </c>
      <c r="G70" s="453">
        <f>G68+G69</f>
        <v>1</v>
      </c>
      <c r="H70" s="453">
        <f>H68+H69</f>
        <v>3</v>
      </c>
      <c r="I70" s="2607"/>
      <c r="J70" s="956"/>
    </row>
    <row r="71" spans="2:11" ht="43.5" customHeight="1" x14ac:dyDescent="0.25">
      <c r="B71" s="2600" t="s">
        <v>83</v>
      </c>
      <c r="C71" s="2602">
        <v>1</v>
      </c>
      <c r="D71" s="450" t="s">
        <v>754</v>
      </c>
      <c r="E71" s="2604" t="s">
        <v>755</v>
      </c>
      <c r="F71" s="1016">
        <v>5</v>
      </c>
      <c r="G71" s="1016">
        <v>0</v>
      </c>
      <c r="H71" s="1016">
        <f>F71+G71</f>
        <v>5</v>
      </c>
      <c r="I71" s="2606">
        <f>F72/H72</f>
        <v>1</v>
      </c>
      <c r="J71" s="2598" t="s">
        <v>967</v>
      </c>
      <c r="K71" s="2599"/>
    </row>
    <row r="72" spans="2:11" ht="14.25" customHeight="1" thickBot="1" x14ac:dyDescent="0.3">
      <c r="B72" s="2601"/>
      <c r="C72" s="2603"/>
      <c r="D72" s="451" t="s">
        <v>117</v>
      </c>
      <c r="E72" s="2605"/>
      <c r="F72" s="452">
        <f>F71</f>
        <v>5</v>
      </c>
      <c r="G72" s="452">
        <f>G71</f>
        <v>0</v>
      </c>
      <c r="H72" s="452">
        <f>H71</f>
        <v>5</v>
      </c>
      <c r="I72" s="2607"/>
      <c r="J72" s="956"/>
    </row>
    <row r="73" spans="2:11" ht="33" customHeight="1" thickBot="1" x14ac:dyDescent="0.3">
      <c r="B73" s="2600" t="s">
        <v>86</v>
      </c>
      <c r="C73" s="2602">
        <v>2</v>
      </c>
      <c r="D73" s="450" t="s">
        <v>760</v>
      </c>
      <c r="E73" s="450" t="s">
        <v>761</v>
      </c>
      <c r="F73" s="1016">
        <v>1</v>
      </c>
      <c r="G73" s="1016">
        <v>0</v>
      </c>
      <c r="H73" s="1016">
        <f>F73+G73</f>
        <v>1</v>
      </c>
      <c r="I73" s="2606">
        <f>F75/H75</f>
        <v>1</v>
      </c>
      <c r="J73" s="2608" t="s">
        <v>968</v>
      </c>
      <c r="K73" s="2609"/>
    </row>
    <row r="74" spans="2:11" ht="56.25" customHeight="1" x14ac:dyDescent="0.25">
      <c r="B74" s="2613"/>
      <c r="C74" s="2614"/>
      <c r="D74" s="450" t="s">
        <v>777</v>
      </c>
      <c r="E74" s="658" t="s">
        <v>763</v>
      </c>
      <c r="F74" s="1018">
        <v>1</v>
      </c>
      <c r="G74" s="1018">
        <v>0</v>
      </c>
      <c r="H74" s="1018">
        <v>1</v>
      </c>
      <c r="I74" s="2626"/>
      <c r="J74" s="2608" t="s">
        <v>969</v>
      </c>
      <c r="K74" s="2609"/>
    </row>
    <row r="75" spans="2:11" ht="14.25" customHeight="1" thickBot="1" x14ac:dyDescent="0.3">
      <c r="B75" s="2601"/>
      <c r="C75" s="2603"/>
      <c r="D75" s="451" t="s">
        <v>117</v>
      </c>
      <c r="E75" s="451"/>
      <c r="F75" s="453">
        <f>F73+F74</f>
        <v>2</v>
      </c>
      <c r="G75" s="453">
        <f>G73+G74</f>
        <v>0</v>
      </c>
      <c r="H75" s="453">
        <f>H73+H74</f>
        <v>2</v>
      </c>
      <c r="I75" s="2607"/>
      <c r="J75" s="956"/>
    </row>
    <row r="76" spans="2:11" ht="35.25" customHeight="1" x14ac:dyDescent="0.25">
      <c r="B76" s="2600" t="s">
        <v>84</v>
      </c>
      <c r="C76" s="2602">
        <v>1</v>
      </c>
      <c r="D76" s="450" t="s">
        <v>769</v>
      </c>
      <c r="E76" s="2604" t="s">
        <v>671</v>
      </c>
      <c r="F76" s="1016">
        <v>1</v>
      </c>
      <c r="G76" s="1016">
        <v>0</v>
      </c>
      <c r="H76" s="1016">
        <f>F76+G76</f>
        <v>1</v>
      </c>
      <c r="I76" s="2606">
        <f>F77/H77</f>
        <v>1</v>
      </c>
      <c r="J76" s="2608" t="s">
        <v>850</v>
      </c>
      <c r="K76" s="2609"/>
    </row>
    <row r="77" spans="2:11" ht="14.25" customHeight="1" thickBot="1" x14ac:dyDescent="0.3">
      <c r="B77" s="2601"/>
      <c r="C77" s="2603"/>
      <c r="D77" s="451" t="s">
        <v>117</v>
      </c>
      <c r="E77" s="2605"/>
      <c r="F77" s="452">
        <f>F76</f>
        <v>1</v>
      </c>
      <c r="G77" s="452">
        <f>G76</f>
        <v>0</v>
      </c>
      <c r="H77" s="452">
        <f>H76</f>
        <v>1</v>
      </c>
      <c r="I77" s="2607"/>
      <c r="J77" s="956"/>
    </row>
    <row r="78" spans="2:11" ht="24" customHeight="1" x14ac:dyDescent="0.25">
      <c r="B78" s="2600" t="s">
        <v>80</v>
      </c>
      <c r="C78" s="2602">
        <v>1</v>
      </c>
      <c r="D78" s="450" t="s">
        <v>756</v>
      </c>
      <c r="E78" s="2604" t="s">
        <v>606</v>
      </c>
      <c r="F78" s="1016">
        <v>1</v>
      </c>
      <c r="G78" s="1016">
        <v>0</v>
      </c>
      <c r="H78" s="1016">
        <f>F78+G78</f>
        <v>1</v>
      </c>
      <c r="I78" s="2606">
        <f>F79/H79</f>
        <v>1</v>
      </c>
      <c r="J78" s="2608" t="s">
        <v>970</v>
      </c>
      <c r="K78" s="2609"/>
    </row>
    <row r="79" spans="2:11" ht="14.25" customHeight="1" thickBot="1" x14ac:dyDescent="0.3">
      <c r="B79" s="2601"/>
      <c r="C79" s="2603"/>
      <c r="D79" s="451" t="s">
        <v>117</v>
      </c>
      <c r="E79" s="2605"/>
      <c r="F79" s="452">
        <f>F78</f>
        <v>1</v>
      </c>
      <c r="G79" s="452">
        <f>G78</f>
        <v>0</v>
      </c>
      <c r="H79" s="452">
        <f>H78</f>
        <v>1</v>
      </c>
      <c r="I79" s="2607"/>
      <c r="J79" s="956"/>
    </row>
    <row r="80" spans="2:11" ht="30.75" customHeight="1" x14ac:dyDescent="0.25">
      <c r="B80" s="2600" t="s">
        <v>85</v>
      </c>
      <c r="C80" s="2602">
        <v>2</v>
      </c>
      <c r="D80" s="450" t="s">
        <v>770</v>
      </c>
      <c r="E80" s="2604" t="s">
        <v>671</v>
      </c>
      <c r="F80" s="1016">
        <v>1</v>
      </c>
      <c r="G80" s="1016">
        <v>0</v>
      </c>
      <c r="H80" s="1016">
        <f>F80+G80</f>
        <v>1</v>
      </c>
      <c r="I80" s="2611">
        <f>F82/H82</f>
        <v>0.5</v>
      </c>
      <c r="J80" s="2608" t="s">
        <v>971</v>
      </c>
      <c r="K80" s="2609"/>
    </row>
    <row r="81" spans="2:11" ht="37.5" customHeight="1" x14ac:dyDescent="0.25">
      <c r="B81" s="2613"/>
      <c r="C81" s="2614"/>
      <c r="D81" s="658" t="s">
        <v>776</v>
      </c>
      <c r="E81" s="2615"/>
      <c r="F81" s="1018">
        <v>0</v>
      </c>
      <c r="G81" s="1018">
        <v>1</v>
      </c>
      <c r="H81" s="1018">
        <v>1</v>
      </c>
      <c r="I81" s="2616"/>
      <c r="J81" s="2608" t="s">
        <v>973</v>
      </c>
      <c r="K81" s="2609"/>
    </row>
    <row r="82" spans="2:11" ht="14.25" customHeight="1" thickBot="1" x14ac:dyDescent="0.3">
      <c r="B82" s="2601"/>
      <c r="C82" s="2603"/>
      <c r="D82" s="451" t="s">
        <v>117</v>
      </c>
      <c r="E82" s="2605"/>
      <c r="F82" s="453">
        <f>F80+F81</f>
        <v>1</v>
      </c>
      <c r="G82" s="453">
        <f>G80+G81</f>
        <v>1</v>
      </c>
      <c r="H82" s="453">
        <f>H80+H81</f>
        <v>2</v>
      </c>
      <c r="I82" s="2597"/>
      <c r="J82" s="956"/>
    </row>
    <row r="83" spans="2:11" ht="24" thickBot="1" x14ac:dyDescent="0.3">
      <c r="B83" s="454"/>
      <c r="C83" s="455">
        <f>SUM(C37:C82)</f>
        <v>27</v>
      </c>
      <c r="D83" s="456"/>
      <c r="E83" s="457"/>
      <c r="F83" s="662">
        <f>SUM(F37:F82)</f>
        <v>66</v>
      </c>
      <c r="G83" s="662">
        <f>SUM(G37:G82)</f>
        <v>10</v>
      </c>
      <c r="H83" s="662">
        <f>SUM(H37:H82)</f>
        <v>76</v>
      </c>
      <c r="I83" s="663">
        <f>F83/H83</f>
        <v>0.86842105263157898</v>
      </c>
      <c r="J83" s="956"/>
    </row>
    <row r="84" spans="2:11" ht="15.75" thickBot="1" x14ac:dyDescent="0.3">
      <c r="C84" s="427"/>
      <c r="F84" s="427"/>
      <c r="G84" s="427"/>
      <c r="H84" s="427"/>
      <c r="I84" s="657"/>
      <c r="J84" s="956"/>
    </row>
    <row r="85" spans="2:11" ht="90.75" customHeight="1" thickBot="1" x14ac:dyDescent="0.3">
      <c r="B85" s="2623" t="s">
        <v>974</v>
      </c>
      <c r="C85" s="2624"/>
      <c r="D85" s="2624"/>
      <c r="E85" s="2624"/>
      <c r="F85" s="2624"/>
      <c r="G85" s="2624"/>
      <c r="H85" s="2624"/>
      <c r="I85" s="2625"/>
      <c r="J85" s="956"/>
    </row>
    <row r="86" spans="2:11" x14ac:dyDescent="0.25">
      <c r="C86" s="427"/>
      <c r="G86" s="427"/>
      <c r="H86" s="427"/>
      <c r="I86" s="427"/>
    </row>
    <row r="87" spans="2:11" x14ac:dyDescent="0.25">
      <c r="C87" s="427"/>
      <c r="G87" s="427"/>
      <c r="H87" s="427"/>
      <c r="I87" s="427"/>
    </row>
    <row r="88" spans="2:11" x14ac:dyDescent="0.25">
      <c r="C88" s="427"/>
      <c r="G88" s="427"/>
      <c r="H88" s="427"/>
      <c r="I88" s="427"/>
    </row>
    <row r="89" spans="2:11" x14ac:dyDescent="0.25">
      <c r="C89" s="427"/>
      <c r="G89" s="427"/>
      <c r="H89" s="427"/>
      <c r="I89" s="427"/>
    </row>
    <row r="90" spans="2:11" x14ac:dyDescent="0.25">
      <c r="C90" s="427"/>
      <c r="G90" s="427"/>
      <c r="H90" s="427"/>
      <c r="I90" s="427"/>
    </row>
    <row r="91" spans="2:11" x14ac:dyDescent="0.25">
      <c r="C91" s="427"/>
      <c r="G91" s="427"/>
      <c r="H91" s="427"/>
      <c r="I91" s="427"/>
    </row>
    <row r="92" spans="2:11" x14ac:dyDescent="0.25">
      <c r="C92" s="427"/>
      <c r="G92" s="427"/>
      <c r="H92" s="427"/>
      <c r="I92" s="427"/>
    </row>
    <row r="93" spans="2:11" x14ac:dyDescent="0.25">
      <c r="C93" s="427"/>
      <c r="G93" s="427"/>
      <c r="H93" s="427"/>
      <c r="I93" s="427"/>
    </row>
    <row r="94" spans="2:11" x14ac:dyDescent="0.25">
      <c r="C94" s="427"/>
      <c r="G94" s="427"/>
      <c r="H94" s="427"/>
      <c r="I94" s="427"/>
    </row>
    <row r="95" spans="2:11" x14ac:dyDescent="0.25">
      <c r="C95" s="427"/>
      <c r="G95" s="427"/>
      <c r="H95" s="427"/>
      <c r="I95" s="427"/>
    </row>
    <row r="96" spans="2:11" x14ac:dyDescent="0.25">
      <c r="C96" s="427"/>
      <c r="G96" s="427"/>
      <c r="H96" s="427"/>
      <c r="I96" s="427"/>
    </row>
    <row r="97" spans="3:9" x14ac:dyDescent="0.25">
      <c r="C97" s="427"/>
      <c r="G97" s="427"/>
      <c r="H97" s="427"/>
      <c r="I97" s="427"/>
    </row>
    <row r="98" spans="3:9" x14ac:dyDescent="0.25">
      <c r="C98" s="427"/>
      <c r="G98" s="427"/>
      <c r="H98" s="427"/>
      <c r="I98" s="427"/>
    </row>
    <row r="99" spans="3:9" x14ac:dyDescent="0.25">
      <c r="C99" s="427"/>
      <c r="G99" s="427"/>
      <c r="H99" s="427"/>
      <c r="I99" s="427"/>
    </row>
    <row r="100" spans="3:9" x14ac:dyDescent="0.25">
      <c r="C100" s="427"/>
      <c r="G100" s="427"/>
      <c r="H100" s="427"/>
      <c r="I100" s="427"/>
    </row>
  </sheetData>
  <mergeCells count="119">
    <mergeCell ref="B7:B8"/>
    <mergeCell ref="C7:D8"/>
    <mergeCell ref="F7:F8"/>
    <mergeCell ref="G7:I7"/>
    <mergeCell ref="J7:J8"/>
    <mergeCell ref="E7:E8"/>
    <mergeCell ref="B12:B13"/>
    <mergeCell ref="C12:C16"/>
    <mergeCell ref="A1:X1"/>
    <mergeCell ref="I4:J4"/>
    <mergeCell ref="K4:L4"/>
    <mergeCell ref="M4:N4"/>
    <mergeCell ref="O4:P4"/>
    <mergeCell ref="B6:J6"/>
    <mergeCell ref="K6:K8"/>
    <mergeCell ref="B35:B36"/>
    <mergeCell ref="B32:J32"/>
    <mergeCell ref="B34:I34"/>
    <mergeCell ref="J34:K35"/>
    <mergeCell ref="C35:D36"/>
    <mergeCell ref="E35:E36"/>
    <mergeCell ref="F35:H35"/>
    <mergeCell ref="I35:I36"/>
    <mergeCell ref="B19:B21"/>
    <mergeCell ref="C19:C21"/>
    <mergeCell ref="J68:K68"/>
    <mergeCell ref="J74:K74"/>
    <mergeCell ref="J76:K76"/>
    <mergeCell ref="J69:K69"/>
    <mergeCell ref="J71:K71"/>
    <mergeCell ref="J73:K73"/>
    <mergeCell ref="B85:I85"/>
    <mergeCell ref="B76:B77"/>
    <mergeCell ref="C76:C77"/>
    <mergeCell ref="E76:E77"/>
    <mergeCell ref="I76:I77"/>
    <mergeCell ref="B68:B70"/>
    <mergeCell ref="C68:C70"/>
    <mergeCell ref="E68:E70"/>
    <mergeCell ref="I68:I70"/>
    <mergeCell ref="B71:B72"/>
    <mergeCell ref="C71:C72"/>
    <mergeCell ref="E71:E72"/>
    <mergeCell ref="I71:I72"/>
    <mergeCell ref="B73:B75"/>
    <mergeCell ref="C73:C75"/>
    <mergeCell ref="I73:I75"/>
    <mergeCell ref="B78:B79"/>
    <mergeCell ref="C78:C79"/>
    <mergeCell ref="B37:B39"/>
    <mergeCell ref="C37:C39"/>
    <mergeCell ref="E37:E39"/>
    <mergeCell ref="I37:I39"/>
    <mergeCell ref="J37:K37"/>
    <mergeCell ref="J38:K38"/>
    <mergeCell ref="B40:B42"/>
    <mergeCell ref="C40:C42"/>
    <mergeCell ref="I40:I42"/>
    <mergeCell ref="J40:K40"/>
    <mergeCell ref="J41:K41"/>
    <mergeCell ref="B43:B45"/>
    <mergeCell ref="C43:C45"/>
    <mergeCell ref="I43:I45"/>
    <mergeCell ref="J43:K43"/>
    <mergeCell ref="J44:K44"/>
    <mergeCell ref="B46:B47"/>
    <mergeCell ref="C46:C47"/>
    <mergeCell ref="E46:E47"/>
    <mergeCell ref="I46:I47"/>
    <mergeCell ref="J46:K46"/>
    <mergeCell ref="J61:K61"/>
    <mergeCell ref="J64:K64"/>
    <mergeCell ref="B66:B67"/>
    <mergeCell ref="C66:C67"/>
    <mergeCell ref="E66:E67"/>
    <mergeCell ref="I66:I67"/>
    <mergeCell ref="J66:K66"/>
    <mergeCell ref="J60:K60"/>
    <mergeCell ref="B60:B63"/>
    <mergeCell ref="C60:C63"/>
    <mergeCell ref="I60:I63"/>
    <mergeCell ref="J62:K62"/>
    <mergeCell ref="B64:B65"/>
    <mergeCell ref="C64:C65"/>
    <mergeCell ref="E64:E65"/>
    <mergeCell ref="I64:I65"/>
    <mergeCell ref="E78:E79"/>
    <mergeCell ref="I78:I79"/>
    <mergeCell ref="J78:K78"/>
    <mergeCell ref="J80:K80"/>
    <mergeCell ref="J81:K81"/>
    <mergeCell ref="B80:B82"/>
    <mergeCell ref="C80:C82"/>
    <mergeCell ref="E80:E82"/>
    <mergeCell ref="I80:I82"/>
    <mergeCell ref="I54:I55"/>
    <mergeCell ref="J54:K54"/>
    <mergeCell ref="B56:B57"/>
    <mergeCell ref="C56:C57"/>
    <mergeCell ref="E56:E57"/>
    <mergeCell ref="I56:I57"/>
    <mergeCell ref="J56:K56"/>
    <mergeCell ref="B58:B59"/>
    <mergeCell ref="C58:C59"/>
    <mergeCell ref="E58:E59"/>
    <mergeCell ref="I58:I59"/>
    <mergeCell ref="J59:K59"/>
    <mergeCell ref="J58:K58"/>
    <mergeCell ref="C48:C55"/>
    <mergeCell ref="I48:I49"/>
    <mergeCell ref="J48:K48"/>
    <mergeCell ref="B50:B51"/>
    <mergeCell ref="I50:I51"/>
    <mergeCell ref="J50:K50"/>
    <mergeCell ref="B52:B53"/>
    <mergeCell ref="I52:I53"/>
    <mergeCell ref="J52:K52"/>
    <mergeCell ref="B54:B55"/>
    <mergeCell ref="B48:B49"/>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0"/>
  <sheetViews>
    <sheetView topLeftCell="B59" zoomScaleNormal="100" workbookViewId="0">
      <selection activeCell="B60" sqref="B60:I60"/>
    </sheetView>
  </sheetViews>
  <sheetFormatPr baseColWidth="10" defaultRowHeight="15" x14ac:dyDescent="0.2"/>
  <cols>
    <col min="1" max="1" width="4.140625" style="426" customWidth="1"/>
    <col min="2" max="2" width="18.85546875" style="428" customWidth="1"/>
    <col min="3" max="3" width="10.28515625" style="426" customWidth="1"/>
    <col min="4" max="4" width="65.140625" style="426" customWidth="1"/>
    <col min="5" max="5" width="25.7109375" style="937" customWidth="1"/>
    <col min="6" max="6" width="24" style="938" customWidth="1"/>
    <col min="7" max="7" width="17.85546875" style="426" customWidth="1"/>
    <col min="8" max="8" width="14.28515625" style="427" customWidth="1"/>
    <col min="9" max="9" width="110.7109375" style="428" customWidth="1"/>
    <col min="10" max="10" width="34.28515625" style="426" customWidth="1"/>
    <col min="11" max="256" width="11.42578125" style="426"/>
    <col min="257" max="257" width="4.140625" style="426" customWidth="1"/>
    <col min="258" max="258" width="16.7109375" style="426" customWidth="1"/>
    <col min="259" max="259" width="10.28515625" style="426" customWidth="1"/>
    <col min="260" max="260" width="37.28515625" style="426" customWidth="1"/>
    <col min="261" max="261" width="25.7109375" style="426" customWidth="1"/>
    <col min="262" max="262" width="22.5703125" style="426" customWidth="1"/>
    <col min="263" max="263" width="19.85546875" style="426" customWidth="1"/>
    <col min="264" max="264" width="22.28515625" style="426" customWidth="1"/>
    <col min="265" max="265" width="0" style="426" hidden="1" customWidth="1"/>
    <col min="266" max="512" width="11.42578125" style="426"/>
    <col min="513" max="513" width="4.140625" style="426" customWidth="1"/>
    <col min="514" max="514" width="16.7109375" style="426" customWidth="1"/>
    <col min="515" max="515" width="10.28515625" style="426" customWidth="1"/>
    <col min="516" max="516" width="37.28515625" style="426" customWidth="1"/>
    <col min="517" max="517" width="25.7109375" style="426" customWidth="1"/>
    <col min="518" max="518" width="22.5703125" style="426" customWidth="1"/>
    <col min="519" max="519" width="19.85546875" style="426" customWidth="1"/>
    <col min="520" max="520" width="22.28515625" style="426" customWidth="1"/>
    <col min="521" max="521" width="0" style="426" hidden="1" customWidth="1"/>
    <col min="522" max="768" width="11.42578125" style="426"/>
    <col min="769" max="769" width="4.140625" style="426" customWidth="1"/>
    <col min="770" max="770" width="16.7109375" style="426" customWidth="1"/>
    <col min="771" max="771" width="10.28515625" style="426" customWidth="1"/>
    <col min="772" max="772" width="37.28515625" style="426" customWidth="1"/>
    <col min="773" max="773" width="25.7109375" style="426" customWidth="1"/>
    <col min="774" max="774" width="22.5703125" style="426" customWidth="1"/>
    <col min="775" max="775" width="19.85546875" style="426" customWidth="1"/>
    <col min="776" max="776" width="22.28515625" style="426" customWidth="1"/>
    <col min="777" max="777" width="0" style="426" hidden="1" customWidth="1"/>
    <col min="778" max="1024" width="11.42578125" style="426"/>
    <col min="1025" max="1025" width="4.140625" style="426" customWidth="1"/>
    <col min="1026" max="1026" width="16.7109375" style="426" customWidth="1"/>
    <col min="1027" max="1027" width="10.28515625" style="426" customWidth="1"/>
    <col min="1028" max="1028" width="37.28515625" style="426" customWidth="1"/>
    <col min="1029" max="1029" width="25.7109375" style="426" customWidth="1"/>
    <col min="1030" max="1030" width="22.5703125" style="426" customWidth="1"/>
    <col min="1031" max="1031" width="19.85546875" style="426" customWidth="1"/>
    <col min="1032" max="1032" width="22.28515625" style="426" customWidth="1"/>
    <col min="1033" max="1033" width="0" style="426" hidden="1" customWidth="1"/>
    <col min="1034" max="1280" width="11.42578125" style="426"/>
    <col min="1281" max="1281" width="4.140625" style="426" customWidth="1"/>
    <col min="1282" max="1282" width="16.7109375" style="426" customWidth="1"/>
    <col min="1283" max="1283" width="10.28515625" style="426" customWidth="1"/>
    <col min="1284" max="1284" width="37.28515625" style="426" customWidth="1"/>
    <col min="1285" max="1285" width="25.7109375" style="426" customWidth="1"/>
    <col min="1286" max="1286" width="22.5703125" style="426" customWidth="1"/>
    <col min="1287" max="1287" width="19.85546875" style="426" customWidth="1"/>
    <col min="1288" max="1288" width="22.28515625" style="426" customWidth="1"/>
    <col min="1289" max="1289" width="0" style="426" hidden="1" customWidth="1"/>
    <col min="1290" max="1536" width="11.42578125" style="426"/>
    <col min="1537" max="1537" width="4.140625" style="426" customWidth="1"/>
    <col min="1538" max="1538" width="16.7109375" style="426" customWidth="1"/>
    <col min="1539" max="1539" width="10.28515625" style="426" customWidth="1"/>
    <col min="1540" max="1540" width="37.28515625" style="426" customWidth="1"/>
    <col min="1541" max="1541" width="25.7109375" style="426" customWidth="1"/>
    <col min="1542" max="1542" width="22.5703125" style="426" customWidth="1"/>
    <col min="1543" max="1543" width="19.85546875" style="426" customWidth="1"/>
    <col min="1544" max="1544" width="22.28515625" style="426" customWidth="1"/>
    <col min="1545" max="1545" width="0" style="426" hidden="1" customWidth="1"/>
    <col min="1546" max="1792" width="11.42578125" style="426"/>
    <col min="1793" max="1793" width="4.140625" style="426" customWidth="1"/>
    <col min="1794" max="1794" width="16.7109375" style="426" customWidth="1"/>
    <col min="1795" max="1795" width="10.28515625" style="426" customWidth="1"/>
    <col min="1796" max="1796" width="37.28515625" style="426" customWidth="1"/>
    <col min="1797" max="1797" width="25.7109375" style="426" customWidth="1"/>
    <col min="1798" max="1798" width="22.5703125" style="426" customWidth="1"/>
    <col min="1799" max="1799" width="19.85546875" style="426" customWidth="1"/>
    <col min="1800" max="1800" width="22.28515625" style="426" customWidth="1"/>
    <col min="1801" max="1801" width="0" style="426" hidden="1" customWidth="1"/>
    <col min="1802" max="2048" width="11.42578125" style="426"/>
    <col min="2049" max="2049" width="4.140625" style="426" customWidth="1"/>
    <col min="2050" max="2050" width="16.7109375" style="426" customWidth="1"/>
    <col min="2051" max="2051" width="10.28515625" style="426" customWidth="1"/>
    <col min="2052" max="2052" width="37.28515625" style="426" customWidth="1"/>
    <col min="2053" max="2053" width="25.7109375" style="426" customWidth="1"/>
    <col min="2054" max="2054" width="22.5703125" style="426" customWidth="1"/>
    <col min="2055" max="2055" width="19.85546875" style="426" customWidth="1"/>
    <col min="2056" max="2056" width="22.28515625" style="426" customWidth="1"/>
    <col min="2057" max="2057" width="0" style="426" hidden="1" customWidth="1"/>
    <col min="2058" max="2304" width="11.42578125" style="426"/>
    <col min="2305" max="2305" width="4.140625" style="426" customWidth="1"/>
    <col min="2306" max="2306" width="16.7109375" style="426" customWidth="1"/>
    <col min="2307" max="2307" width="10.28515625" style="426" customWidth="1"/>
    <col min="2308" max="2308" width="37.28515625" style="426" customWidth="1"/>
    <col min="2309" max="2309" width="25.7109375" style="426" customWidth="1"/>
    <col min="2310" max="2310" width="22.5703125" style="426" customWidth="1"/>
    <col min="2311" max="2311" width="19.85546875" style="426" customWidth="1"/>
    <col min="2312" max="2312" width="22.28515625" style="426" customWidth="1"/>
    <col min="2313" max="2313" width="0" style="426" hidden="1" customWidth="1"/>
    <col min="2314" max="2560" width="11.42578125" style="426"/>
    <col min="2561" max="2561" width="4.140625" style="426" customWidth="1"/>
    <col min="2562" max="2562" width="16.7109375" style="426" customWidth="1"/>
    <col min="2563" max="2563" width="10.28515625" style="426" customWidth="1"/>
    <col min="2564" max="2564" width="37.28515625" style="426" customWidth="1"/>
    <col min="2565" max="2565" width="25.7109375" style="426" customWidth="1"/>
    <col min="2566" max="2566" width="22.5703125" style="426" customWidth="1"/>
    <col min="2567" max="2567" width="19.85546875" style="426" customWidth="1"/>
    <col min="2568" max="2568" width="22.28515625" style="426" customWidth="1"/>
    <col min="2569" max="2569" width="0" style="426" hidden="1" customWidth="1"/>
    <col min="2570" max="2816" width="11.42578125" style="426"/>
    <col min="2817" max="2817" width="4.140625" style="426" customWidth="1"/>
    <col min="2818" max="2818" width="16.7109375" style="426" customWidth="1"/>
    <col min="2819" max="2819" width="10.28515625" style="426" customWidth="1"/>
    <col min="2820" max="2820" width="37.28515625" style="426" customWidth="1"/>
    <col min="2821" max="2821" width="25.7109375" style="426" customWidth="1"/>
    <col min="2822" max="2822" width="22.5703125" style="426" customWidth="1"/>
    <col min="2823" max="2823" width="19.85546875" style="426" customWidth="1"/>
    <col min="2824" max="2824" width="22.28515625" style="426" customWidth="1"/>
    <col min="2825" max="2825" width="0" style="426" hidden="1" customWidth="1"/>
    <col min="2826" max="3072" width="11.42578125" style="426"/>
    <col min="3073" max="3073" width="4.140625" style="426" customWidth="1"/>
    <col min="3074" max="3074" width="16.7109375" style="426" customWidth="1"/>
    <col min="3075" max="3075" width="10.28515625" style="426" customWidth="1"/>
    <col min="3076" max="3076" width="37.28515625" style="426" customWidth="1"/>
    <col min="3077" max="3077" width="25.7109375" style="426" customWidth="1"/>
    <col min="3078" max="3078" width="22.5703125" style="426" customWidth="1"/>
    <col min="3079" max="3079" width="19.85546875" style="426" customWidth="1"/>
    <col min="3080" max="3080" width="22.28515625" style="426" customWidth="1"/>
    <col min="3081" max="3081" width="0" style="426" hidden="1" customWidth="1"/>
    <col min="3082" max="3328" width="11.42578125" style="426"/>
    <col min="3329" max="3329" width="4.140625" style="426" customWidth="1"/>
    <col min="3330" max="3330" width="16.7109375" style="426" customWidth="1"/>
    <col min="3331" max="3331" width="10.28515625" style="426" customWidth="1"/>
    <col min="3332" max="3332" width="37.28515625" style="426" customWidth="1"/>
    <col min="3333" max="3333" width="25.7109375" style="426" customWidth="1"/>
    <col min="3334" max="3334" width="22.5703125" style="426" customWidth="1"/>
    <col min="3335" max="3335" width="19.85546875" style="426" customWidth="1"/>
    <col min="3336" max="3336" width="22.28515625" style="426" customWidth="1"/>
    <col min="3337" max="3337" width="0" style="426" hidden="1" customWidth="1"/>
    <col min="3338" max="3584" width="11.42578125" style="426"/>
    <col min="3585" max="3585" width="4.140625" style="426" customWidth="1"/>
    <col min="3586" max="3586" width="16.7109375" style="426" customWidth="1"/>
    <col min="3587" max="3587" width="10.28515625" style="426" customWidth="1"/>
    <col min="3588" max="3588" width="37.28515625" style="426" customWidth="1"/>
    <col min="3589" max="3589" width="25.7109375" style="426" customWidth="1"/>
    <col min="3590" max="3590" width="22.5703125" style="426" customWidth="1"/>
    <col min="3591" max="3591" width="19.85546875" style="426" customWidth="1"/>
    <col min="3592" max="3592" width="22.28515625" style="426" customWidth="1"/>
    <col min="3593" max="3593" width="0" style="426" hidden="1" customWidth="1"/>
    <col min="3594" max="3840" width="11.42578125" style="426"/>
    <col min="3841" max="3841" width="4.140625" style="426" customWidth="1"/>
    <col min="3842" max="3842" width="16.7109375" style="426" customWidth="1"/>
    <col min="3843" max="3843" width="10.28515625" style="426" customWidth="1"/>
    <col min="3844" max="3844" width="37.28515625" style="426" customWidth="1"/>
    <col min="3845" max="3845" width="25.7109375" style="426" customWidth="1"/>
    <col min="3846" max="3846" width="22.5703125" style="426" customWidth="1"/>
    <col min="3847" max="3847" width="19.85546875" style="426" customWidth="1"/>
    <col min="3848" max="3848" width="22.28515625" style="426" customWidth="1"/>
    <col min="3849" max="3849" width="0" style="426" hidden="1" customWidth="1"/>
    <col min="3850" max="4096" width="11.42578125" style="426"/>
    <col min="4097" max="4097" width="4.140625" style="426" customWidth="1"/>
    <col min="4098" max="4098" width="16.7109375" style="426" customWidth="1"/>
    <col min="4099" max="4099" width="10.28515625" style="426" customWidth="1"/>
    <col min="4100" max="4100" width="37.28515625" style="426" customWidth="1"/>
    <col min="4101" max="4101" width="25.7109375" style="426" customWidth="1"/>
    <col min="4102" max="4102" width="22.5703125" style="426" customWidth="1"/>
    <col min="4103" max="4103" width="19.85546875" style="426" customWidth="1"/>
    <col min="4104" max="4104" width="22.28515625" style="426" customWidth="1"/>
    <col min="4105" max="4105" width="0" style="426" hidden="1" customWidth="1"/>
    <col min="4106" max="4352" width="11.42578125" style="426"/>
    <col min="4353" max="4353" width="4.140625" style="426" customWidth="1"/>
    <col min="4354" max="4354" width="16.7109375" style="426" customWidth="1"/>
    <col min="4355" max="4355" width="10.28515625" style="426" customWidth="1"/>
    <col min="4356" max="4356" width="37.28515625" style="426" customWidth="1"/>
    <col min="4357" max="4357" width="25.7109375" style="426" customWidth="1"/>
    <col min="4358" max="4358" width="22.5703125" style="426" customWidth="1"/>
    <col min="4359" max="4359" width="19.85546875" style="426" customWidth="1"/>
    <col min="4360" max="4360" width="22.28515625" style="426" customWidth="1"/>
    <col min="4361" max="4361" width="0" style="426" hidden="1" customWidth="1"/>
    <col min="4362" max="4608" width="11.42578125" style="426"/>
    <col min="4609" max="4609" width="4.140625" style="426" customWidth="1"/>
    <col min="4610" max="4610" width="16.7109375" style="426" customWidth="1"/>
    <col min="4611" max="4611" width="10.28515625" style="426" customWidth="1"/>
    <col min="4612" max="4612" width="37.28515625" style="426" customWidth="1"/>
    <col min="4613" max="4613" width="25.7109375" style="426" customWidth="1"/>
    <col min="4614" max="4614" width="22.5703125" style="426" customWidth="1"/>
    <col min="4615" max="4615" width="19.85546875" style="426" customWidth="1"/>
    <col min="4616" max="4616" width="22.28515625" style="426" customWidth="1"/>
    <col min="4617" max="4617" width="0" style="426" hidden="1" customWidth="1"/>
    <col min="4618" max="4864" width="11.42578125" style="426"/>
    <col min="4865" max="4865" width="4.140625" style="426" customWidth="1"/>
    <col min="4866" max="4866" width="16.7109375" style="426" customWidth="1"/>
    <col min="4867" max="4867" width="10.28515625" style="426" customWidth="1"/>
    <col min="4868" max="4868" width="37.28515625" style="426" customWidth="1"/>
    <col min="4869" max="4869" width="25.7109375" style="426" customWidth="1"/>
    <col min="4870" max="4870" width="22.5703125" style="426" customWidth="1"/>
    <col min="4871" max="4871" width="19.85546875" style="426" customWidth="1"/>
    <col min="4872" max="4872" width="22.28515625" style="426" customWidth="1"/>
    <col min="4873" max="4873" width="0" style="426" hidden="1" customWidth="1"/>
    <col min="4874" max="5120" width="11.42578125" style="426"/>
    <col min="5121" max="5121" width="4.140625" style="426" customWidth="1"/>
    <col min="5122" max="5122" width="16.7109375" style="426" customWidth="1"/>
    <col min="5123" max="5123" width="10.28515625" style="426" customWidth="1"/>
    <col min="5124" max="5124" width="37.28515625" style="426" customWidth="1"/>
    <col min="5125" max="5125" width="25.7109375" style="426" customWidth="1"/>
    <col min="5126" max="5126" width="22.5703125" style="426" customWidth="1"/>
    <col min="5127" max="5127" width="19.85546875" style="426" customWidth="1"/>
    <col min="5128" max="5128" width="22.28515625" style="426" customWidth="1"/>
    <col min="5129" max="5129" width="0" style="426" hidden="1" customWidth="1"/>
    <col min="5130" max="5376" width="11.42578125" style="426"/>
    <col min="5377" max="5377" width="4.140625" style="426" customWidth="1"/>
    <col min="5378" max="5378" width="16.7109375" style="426" customWidth="1"/>
    <col min="5379" max="5379" width="10.28515625" style="426" customWidth="1"/>
    <col min="5380" max="5380" width="37.28515625" style="426" customWidth="1"/>
    <col min="5381" max="5381" width="25.7109375" style="426" customWidth="1"/>
    <col min="5382" max="5382" width="22.5703125" style="426" customWidth="1"/>
    <col min="5383" max="5383" width="19.85546875" style="426" customWidth="1"/>
    <col min="5384" max="5384" width="22.28515625" style="426" customWidth="1"/>
    <col min="5385" max="5385" width="0" style="426" hidden="1" customWidth="1"/>
    <col min="5386" max="5632" width="11.42578125" style="426"/>
    <col min="5633" max="5633" width="4.140625" style="426" customWidth="1"/>
    <col min="5634" max="5634" width="16.7109375" style="426" customWidth="1"/>
    <col min="5635" max="5635" width="10.28515625" style="426" customWidth="1"/>
    <col min="5636" max="5636" width="37.28515625" style="426" customWidth="1"/>
    <col min="5637" max="5637" width="25.7109375" style="426" customWidth="1"/>
    <col min="5638" max="5638" width="22.5703125" style="426" customWidth="1"/>
    <col min="5639" max="5639" width="19.85546875" style="426" customWidth="1"/>
    <col min="5640" max="5640" width="22.28515625" style="426" customWidth="1"/>
    <col min="5641" max="5641" width="0" style="426" hidden="1" customWidth="1"/>
    <col min="5642" max="5888" width="11.42578125" style="426"/>
    <col min="5889" max="5889" width="4.140625" style="426" customWidth="1"/>
    <col min="5890" max="5890" width="16.7109375" style="426" customWidth="1"/>
    <col min="5891" max="5891" width="10.28515625" style="426" customWidth="1"/>
    <col min="5892" max="5892" width="37.28515625" style="426" customWidth="1"/>
    <col min="5893" max="5893" width="25.7109375" style="426" customWidth="1"/>
    <col min="5894" max="5894" width="22.5703125" style="426" customWidth="1"/>
    <col min="5895" max="5895" width="19.85546875" style="426" customWidth="1"/>
    <col min="5896" max="5896" width="22.28515625" style="426" customWidth="1"/>
    <col min="5897" max="5897" width="0" style="426" hidden="1" customWidth="1"/>
    <col min="5898" max="6144" width="11.42578125" style="426"/>
    <col min="6145" max="6145" width="4.140625" style="426" customWidth="1"/>
    <col min="6146" max="6146" width="16.7109375" style="426" customWidth="1"/>
    <col min="6147" max="6147" width="10.28515625" style="426" customWidth="1"/>
    <col min="6148" max="6148" width="37.28515625" style="426" customWidth="1"/>
    <col min="6149" max="6149" width="25.7109375" style="426" customWidth="1"/>
    <col min="6150" max="6150" width="22.5703125" style="426" customWidth="1"/>
    <col min="6151" max="6151" width="19.85546875" style="426" customWidth="1"/>
    <col min="6152" max="6152" width="22.28515625" style="426" customWidth="1"/>
    <col min="6153" max="6153" width="0" style="426" hidden="1" customWidth="1"/>
    <col min="6154" max="6400" width="11.42578125" style="426"/>
    <col min="6401" max="6401" width="4.140625" style="426" customWidth="1"/>
    <col min="6402" max="6402" width="16.7109375" style="426" customWidth="1"/>
    <col min="6403" max="6403" width="10.28515625" style="426" customWidth="1"/>
    <col min="6404" max="6404" width="37.28515625" style="426" customWidth="1"/>
    <col min="6405" max="6405" width="25.7109375" style="426" customWidth="1"/>
    <col min="6406" max="6406" width="22.5703125" style="426" customWidth="1"/>
    <col min="6407" max="6407" width="19.85546875" style="426" customWidth="1"/>
    <col min="6408" max="6408" width="22.28515625" style="426" customWidth="1"/>
    <col min="6409" max="6409" width="0" style="426" hidden="1" customWidth="1"/>
    <col min="6410" max="6656" width="11.42578125" style="426"/>
    <col min="6657" max="6657" width="4.140625" style="426" customWidth="1"/>
    <col min="6658" max="6658" width="16.7109375" style="426" customWidth="1"/>
    <col min="6659" max="6659" width="10.28515625" style="426" customWidth="1"/>
    <col min="6660" max="6660" width="37.28515625" style="426" customWidth="1"/>
    <col min="6661" max="6661" width="25.7109375" style="426" customWidth="1"/>
    <col min="6662" max="6662" width="22.5703125" style="426" customWidth="1"/>
    <col min="6663" max="6663" width="19.85546875" style="426" customWidth="1"/>
    <col min="6664" max="6664" width="22.28515625" style="426" customWidth="1"/>
    <col min="6665" max="6665" width="0" style="426" hidden="1" customWidth="1"/>
    <col min="6666" max="6912" width="11.42578125" style="426"/>
    <col min="6913" max="6913" width="4.140625" style="426" customWidth="1"/>
    <col min="6914" max="6914" width="16.7109375" style="426" customWidth="1"/>
    <col min="6915" max="6915" width="10.28515625" style="426" customWidth="1"/>
    <col min="6916" max="6916" width="37.28515625" style="426" customWidth="1"/>
    <col min="6917" max="6917" width="25.7109375" style="426" customWidth="1"/>
    <col min="6918" max="6918" width="22.5703125" style="426" customWidth="1"/>
    <col min="6919" max="6919" width="19.85546875" style="426" customWidth="1"/>
    <col min="6920" max="6920" width="22.28515625" style="426" customWidth="1"/>
    <col min="6921" max="6921" width="0" style="426" hidden="1" customWidth="1"/>
    <col min="6922" max="7168" width="11.42578125" style="426"/>
    <col min="7169" max="7169" width="4.140625" style="426" customWidth="1"/>
    <col min="7170" max="7170" width="16.7109375" style="426" customWidth="1"/>
    <col min="7171" max="7171" width="10.28515625" style="426" customWidth="1"/>
    <col min="7172" max="7172" width="37.28515625" style="426" customWidth="1"/>
    <col min="7173" max="7173" width="25.7109375" style="426" customWidth="1"/>
    <col min="7174" max="7174" width="22.5703125" style="426" customWidth="1"/>
    <col min="7175" max="7175" width="19.85546875" style="426" customWidth="1"/>
    <col min="7176" max="7176" width="22.28515625" style="426" customWidth="1"/>
    <col min="7177" max="7177" width="0" style="426" hidden="1" customWidth="1"/>
    <col min="7178" max="7424" width="11.42578125" style="426"/>
    <col min="7425" max="7425" width="4.140625" style="426" customWidth="1"/>
    <col min="7426" max="7426" width="16.7109375" style="426" customWidth="1"/>
    <col min="7427" max="7427" width="10.28515625" style="426" customWidth="1"/>
    <col min="7428" max="7428" width="37.28515625" style="426" customWidth="1"/>
    <col min="7429" max="7429" width="25.7109375" style="426" customWidth="1"/>
    <col min="7430" max="7430" width="22.5703125" style="426" customWidth="1"/>
    <col min="7431" max="7431" width="19.85546875" style="426" customWidth="1"/>
    <col min="7432" max="7432" width="22.28515625" style="426" customWidth="1"/>
    <col min="7433" max="7433" width="0" style="426" hidden="1" customWidth="1"/>
    <col min="7434" max="7680" width="11.42578125" style="426"/>
    <col min="7681" max="7681" width="4.140625" style="426" customWidth="1"/>
    <col min="7682" max="7682" width="16.7109375" style="426" customWidth="1"/>
    <col min="7683" max="7683" width="10.28515625" style="426" customWidth="1"/>
    <col min="7684" max="7684" width="37.28515625" style="426" customWidth="1"/>
    <col min="7685" max="7685" width="25.7109375" style="426" customWidth="1"/>
    <col min="7686" max="7686" width="22.5703125" style="426" customWidth="1"/>
    <col min="7687" max="7687" width="19.85546875" style="426" customWidth="1"/>
    <col min="7688" max="7688" width="22.28515625" style="426" customWidth="1"/>
    <col min="7689" max="7689" width="0" style="426" hidden="1" customWidth="1"/>
    <col min="7690" max="7936" width="11.42578125" style="426"/>
    <col min="7937" max="7937" width="4.140625" style="426" customWidth="1"/>
    <col min="7938" max="7938" width="16.7109375" style="426" customWidth="1"/>
    <col min="7939" max="7939" width="10.28515625" style="426" customWidth="1"/>
    <col min="7940" max="7940" width="37.28515625" style="426" customWidth="1"/>
    <col min="7941" max="7941" width="25.7109375" style="426" customWidth="1"/>
    <col min="7942" max="7942" width="22.5703125" style="426" customWidth="1"/>
    <col min="7943" max="7943" width="19.85546875" style="426" customWidth="1"/>
    <col min="7944" max="7944" width="22.28515625" style="426" customWidth="1"/>
    <col min="7945" max="7945" width="0" style="426" hidden="1" customWidth="1"/>
    <col min="7946" max="8192" width="11.42578125" style="426"/>
    <col min="8193" max="8193" width="4.140625" style="426" customWidth="1"/>
    <col min="8194" max="8194" width="16.7109375" style="426" customWidth="1"/>
    <col min="8195" max="8195" width="10.28515625" style="426" customWidth="1"/>
    <col min="8196" max="8196" width="37.28515625" style="426" customWidth="1"/>
    <col min="8197" max="8197" width="25.7109375" style="426" customWidth="1"/>
    <col min="8198" max="8198" width="22.5703125" style="426" customWidth="1"/>
    <col min="8199" max="8199" width="19.85546875" style="426" customWidth="1"/>
    <col min="8200" max="8200" width="22.28515625" style="426" customWidth="1"/>
    <col min="8201" max="8201" width="0" style="426" hidden="1" customWidth="1"/>
    <col min="8202" max="8448" width="11.42578125" style="426"/>
    <col min="8449" max="8449" width="4.140625" style="426" customWidth="1"/>
    <col min="8450" max="8450" width="16.7109375" style="426" customWidth="1"/>
    <col min="8451" max="8451" width="10.28515625" style="426" customWidth="1"/>
    <col min="8452" max="8452" width="37.28515625" style="426" customWidth="1"/>
    <col min="8453" max="8453" width="25.7109375" style="426" customWidth="1"/>
    <col min="8454" max="8454" width="22.5703125" style="426" customWidth="1"/>
    <col min="8455" max="8455" width="19.85546875" style="426" customWidth="1"/>
    <col min="8456" max="8456" width="22.28515625" style="426" customWidth="1"/>
    <col min="8457" max="8457" width="0" style="426" hidden="1" customWidth="1"/>
    <col min="8458" max="8704" width="11.42578125" style="426"/>
    <col min="8705" max="8705" width="4.140625" style="426" customWidth="1"/>
    <col min="8706" max="8706" width="16.7109375" style="426" customWidth="1"/>
    <col min="8707" max="8707" width="10.28515625" style="426" customWidth="1"/>
    <col min="8708" max="8708" width="37.28515625" style="426" customWidth="1"/>
    <col min="8709" max="8709" width="25.7109375" style="426" customWidth="1"/>
    <col min="8710" max="8710" width="22.5703125" style="426" customWidth="1"/>
    <col min="8711" max="8711" width="19.85546875" style="426" customWidth="1"/>
    <col min="8712" max="8712" width="22.28515625" style="426" customWidth="1"/>
    <col min="8713" max="8713" width="0" style="426" hidden="1" customWidth="1"/>
    <col min="8714" max="8960" width="11.42578125" style="426"/>
    <col min="8961" max="8961" width="4.140625" style="426" customWidth="1"/>
    <col min="8962" max="8962" width="16.7109375" style="426" customWidth="1"/>
    <col min="8963" max="8963" width="10.28515625" style="426" customWidth="1"/>
    <col min="8964" max="8964" width="37.28515625" style="426" customWidth="1"/>
    <col min="8965" max="8965" width="25.7109375" style="426" customWidth="1"/>
    <col min="8966" max="8966" width="22.5703125" style="426" customWidth="1"/>
    <col min="8967" max="8967" width="19.85546875" style="426" customWidth="1"/>
    <col min="8968" max="8968" width="22.28515625" style="426" customWidth="1"/>
    <col min="8969" max="8969" width="0" style="426" hidden="1" customWidth="1"/>
    <col min="8970" max="9216" width="11.42578125" style="426"/>
    <col min="9217" max="9217" width="4.140625" style="426" customWidth="1"/>
    <col min="9218" max="9218" width="16.7109375" style="426" customWidth="1"/>
    <col min="9219" max="9219" width="10.28515625" style="426" customWidth="1"/>
    <col min="9220" max="9220" width="37.28515625" style="426" customWidth="1"/>
    <col min="9221" max="9221" width="25.7109375" style="426" customWidth="1"/>
    <col min="9222" max="9222" width="22.5703125" style="426" customWidth="1"/>
    <col min="9223" max="9223" width="19.85546875" style="426" customWidth="1"/>
    <col min="9224" max="9224" width="22.28515625" style="426" customWidth="1"/>
    <col min="9225" max="9225" width="0" style="426" hidden="1" customWidth="1"/>
    <col min="9226" max="9472" width="11.42578125" style="426"/>
    <col min="9473" max="9473" width="4.140625" style="426" customWidth="1"/>
    <col min="9474" max="9474" width="16.7109375" style="426" customWidth="1"/>
    <col min="9475" max="9475" width="10.28515625" style="426" customWidth="1"/>
    <col min="9476" max="9476" width="37.28515625" style="426" customWidth="1"/>
    <col min="9477" max="9477" width="25.7109375" style="426" customWidth="1"/>
    <col min="9478" max="9478" width="22.5703125" style="426" customWidth="1"/>
    <col min="9479" max="9479" width="19.85546875" style="426" customWidth="1"/>
    <col min="9480" max="9480" width="22.28515625" style="426" customWidth="1"/>
    <col min="9481" max="9481" width="0" style="426" hidden="1" customWidth="1"/>
    <col min="9482" max="9728" width="11.42578125" style="426"/>
    <col min="9729" max="9729" width="4.140625" style="426" customWidth="1"/>
    <col min="9730" max="9730" width="16.7109375" style="426" customWidth="1"/>
    <col min="9731" max="9731" width="10.28515625" style="426" customWidth="1"/>
    <col min="9732" max="9732" width="37.28515625" style="426" customWidth="1"/>
    <col min="9733" max="9733" width="25.7109375" style="426" customWidth="1"/>
    <col min="9734" max="9734" width="22.5703125" style="426" customWidth="1"/>
    <col min="9735" max="9735" width="19.85546875" style="426" customWidth="1"/>
    <col min="9736" max="9736" width="22.28515625" style="426" customWidth="1"/>
    <col min="9737" max="9737" width="0" style="426" hidden="1" customWidth="1"/>
    <col min="9738" max="9984" width="11.42578125" style="426"/>
    <col min="9985" max="9985" width="4.140625" style="426" customWidth="1"/>
    <col min="9986" max="9986" width="16.7109375" style="426" customWidth="1"/>
    <col min="9987" max="9987" width="10.28515625" style="426" customWidth="1"/>
    <col min="9988" max="9988" width="37.28515625" style="426" customWidth="1"/>
    <col min="9989" max="9989" width="25.7109375" style="426" customWidth="1"/>
    <col min="9990" max="9990" width="22.5703125" style="426" customWidth="1"/>
    <col min="9991" max="9991" width="19.85546875" style="426" customWidth="1"/>
    <col min="9992" max="9992" width="22.28515625" style="426" customWidth="1"/>
    <col min="9993" max="9993" width="0" style="426" hidden="1" customWidth="1"/>
    <col min="9994" max="10240" width="11.42578125" style="426"/>
    <col min="10241" max="10241" width="4.140625" style="426" customWidth="1"/>
    <col min="10242" max="10242" width="16.7109375" style="426" customWidth="1"/>
    <col min="10243" max="10243" width="10.28515625" style="426" customWidth="1"/>
    <col min="10244" max="10244" width="37.28515625" style="426" customWidth="1"/>
    <col min="10245" max="10245" width="25.7109375" style="426" customWidth="1"/>
    <col min="10246" max="10246" width="22.5703125" style="426" customWidth="1"/>
    <col min="10247" max="10247" width="19.85546875" style="426" customWidth="1"/>
    <col min="10248" max="10248" width="22.28515625" style="426" customWidth="1"/>
    <col min="10249" max="10249" width="0" style="426" hidden="1" customWidth="1"/>
    <col min="10250" max="10496" width="11.42578125" style="426"/>
    <col min="10497" max="10497" width="4.140625" style="426" customWidth="1"/>
    <col min="10498" max="10498" width="16.7109375" style="426" customWidth="1"/>
    <col min="10499" max="10499" width="10.28515625" style="426" customWidth="1"/>
    <col min="10500" max="10500" width="37.28515625" style="426" customWidth="1"/>
    <col min="10501" max="10501" width="25.7109375" style="426" customWidth="1"/>
    <col min="10502" max="10502" width="22.5703125" style="426" customWidth="1"/>
    <col min="10503" max="10503" width="19.85546875" style="426" customWidth="1"/>
    <col min="10504" max="10504" width="22.28515625" style="426" customWidth="1"/>
    <col min="10505" max="10505" width="0" style="426" hidden="1" customWidth="1"/>
    <col min="10506" max="10752" width="11.42578125" style="426"/>
    <col min="10753" max="10753" width="4.140625" style="426" customWidth="1"/>
    <col min="10754" max="10754" width="16.7109375" style="426" customWidth="1"/>
    <col min="10755" max="10755" width="10.28515625" style="426" customWidth="1"/>
    <col min="10756" max="10756" width="37.28515625" style="426" customWidth="1"/>
    <col min="10757" max="10757" width="25.7109375" style="426" customWidth="1"/>
    <col min="10758" max="10758" width="22.5703125" style="426" customWidth="1"/>
    <col min="10759" max="10759" width="19.85546875" style="426" customWidth="1"/>
    <col min="10760" max="10760" width="22.28515625" style="426" customWidth="1"/>
    <col min="10761" max="10761" width="0" style="426" hidden="1" customWidth="1"/>
    <col min="10762" max="11008" width="11.42578125" style="426"/>
    <col min="11009" max="11009" width="4.140625" style="426" customWidth="1"/>
    <col min="11010" max="11010" width="16.7109375" style="426" customWidth="1"/>
    <col min="11011" max="11011" width="10.28515625" style="426" customWidth="1"/>
    <col min="11012" max="11012" width="37.28515625" style="426" customWidth="1"/>
    <col min="11013" max="11013" width="25.7109375" style="426" customWidth="1"/>
    <col min="11014" max="11014" width="22.5703125" style="426" customWidth="1"/>
    <col min="11015" max="11015" width="19.85546875" style="426" customWidth="1"/>
    <col min="11016" max="11016" width="22.28515625" style="426" customWidth="1"/>
    <col min="11017" max="11017" width="0" style="426" hidden="1" customWidth="1"/>
    <col min="11018" max="11264" width="11.42578125" style="426"/>
    <col min="11265" max="11265" width="4.140625" style="426" customWidth="1"/>
    <col min="11266" max="11266" width="16.7109375" style="426" customWidth="1"/>
    <col min="11267" max="11267" width="10.28515625" style="426" customWidth="1"/>
    <col min="11268" max="11268" width="37.28515625" style="426" customWidth="1"/>
    <col min="11269" max="11269" width="25.7109375" style="426" customWidth="1"/>
    <col min="11270" max="11270" width="22.5703125" style="426" customWidth="1"/>
    <col min="11271" max="11271" width="19.85546875" style="426" customWidth="1"/>
    <col min="11272" max="11272" width="22.28515625" style="426" customWidth="1"/>
    <col min="11273" max="11273" width="0" style="426" hidden="1" customWidth="1"/>
    <col min="11274" max="11520" width="11.42578125" style="426"/>
    <col min="11521" max="11521" width="4.140625" style="426" customWidth="1"/>
    <col min="11522" max="11522" width="16.7109375" style="426" customWidth="1"/>
    <col min="11523" max="11523" width="10.28515625" style="426" customWidth="1"/>
    <col min="11524" max="11524" width="37.28515625" style="426" customWidth="1"/>
    <col min="11525" max="11525" width="25.7109375" style="426" customWidth="1"/>
    <col min="11526" max="11526" width="22.5703125" style="426" customWidth="1"/>
    <col min="11527" max="11527" width="19.85546875" style="426" customWidth="1"/>
    <col min="11528" max="11528" width="22.28515625" style="426" customWidth="1"/>
    <col min="11529" max="11529" width="0" style="426" hidden="1" customWidth="1"/>
    <col min="11530" max="11776" width="11.42578125" style="426"/>
    <col min="11777" max="11777" width="4.140625" style="426" customWidth="1"/>
    <col min="11778" max="11778" width="16.7109375" style="426" customWidth="1"/>
    <col min="11779" max="11779" width="10.28515625" style="426" customWidth="1"/>
    <col min="11780" max="11780" width="37.28515625" style="426" customWidth="1"/>
    <col min="11781" max="11781" width="25.7109375" style="426" customWidth="1"/>
    <col min="11782" max="11782" width="22.5703125" style="426" customWidth="1"/>
    <col min="11783" max="11783" width="19.85546875" style="426" customWidth="1"/>
    <col min="11784" max="11784" width="22.28515625" style="426" customWidth="1"/>
    <col min="11785" max="11785" width="0" style="426" hidden="1" customWidth="1"/>
    <col min="11786" max="12032" width="11.42578125" style="426"/>
    <col min="12033" max="12033" width="4.140625" style="426" customWidth="1"/>
    <col min="12034" max="12034" width="16.7109375" style="426" customWidth="1"/>
    <col min="12035" max="12035" width="10.28515625" style="426" customWidth="1"/>
    <col min="12036" max="12036" width="37.28515625" style="426" customWidth="1"/>
    <col min="12037" max="12037" width="25.7109375" style="426" customWidth="1"/>
    <col min="12038" max="12038" width="22.5703125" style="426" customWidth="1"/>
    <col min="12039" max="12039" width="19.85546875" style="426" customWidth="1"/>
    <col min="12040" max="12040" width="22.28515625" style="426" customWidth="1"/>
    <col min="12041" max="12041" width="0" style="426" hidden="1" customWidth="1"/>
    <col min="12042" max="12288" width="11.42578125" style="426"/>
    <col min="12289" max="12289" width="4.140625" style="426" customWidth="1"/>
    <col min="12290" max="12290" width="16.7109375" style="426" customWidth="1"/>
    <col min="12291" max="12291" width="10.28515625" style="426" customWidth="1"/>
    <col min="12292" max="12292" width="37.28515625" style="426" customWidth="1"/>
    <col min="12293" max="12293" width="25.7109375" style="426" customWidth="1"/>
    <col min="12294" max="12294" width="22.5703125" style="426" customWidth="1"/>
    <col min="12295" max="12295" width="19.85546875" style="426" customWidth="1"/>
    <col min="12296" max="12296" width="22.28515625" style="426" customWidth="1"/>
    <col min="12297" max="12297" width="0" style="426" hidden="1" customWidth="1"/>
    <col min="12298" max="12544" width="11.42578125" style="426"/>
    <col min="12545" max="12545" width="4.140625" style="426" customWidth="1"/>
    <col min="12546" max="12546" width="16.7109375" style="426" customWidth="1"/>
    <col min="12547" max="12547" width="10.28515625" style="426" customWidth="1"/>
    <col min="12548" max="12548" width="37.28515625" style="426" customWidth="1"/>
    <col min="12549" max="12549" width="25.7109375" style="426" customWidth="1"/>
    <col min="12550" max="12550" width="22.5703125" style="426" customWidth="1"/>
    <col min="12551" max="12551" width="19.85546875" style="426" customWidth="1"/>
    <col min="12552" max="12552" width="22.28515625" style="426" customWidth="1"/>
    <col min="12553" max="12553" width="0" style="426" hidden="1" customWidth="1"/>
    <col min="12554" max="12800" width="11.42578125" style="426"/>
    <col min="12801" max="12801" width="4.140625" style="426" customWidth="1"/>
    <col min="12802" max="12802" width="16.7109375" style="426" customWidth="1"/>
    <col min="12803" max="12803" width="10.28515625" style="426" customWidth="1"/>
    <col min="12804" max="12804" width="37.28515625" style="426" customWidth="1"/>
    <col min="12805" max="12805" width="25.7109375" style="426" customWidth="1"/>
    <col min="12806" max="12806" width="22.5703125" style="426" customWidth="1"/>
    <col min="12807" max="12807" width="19.85546875" style="426" customWidth="1"/>
    <col min="12808" max="12808" width="22.28515625" style="426" customWidth="1"/>
    <col min="12809" max="12809" width="0" style="426" hidden="1" customWidth="1"/>
    <col min="12810" max="13056" width="11.42578125" style="426"/>
    <col min="13057" max="13057" width="4.140625" style="426" customWidth="1"/>
    <col min="13058" max="13058" width="16.7109375" style="426" customWidth="1"/>
    <col min="13059" max="13059" width="10.28515625" style="426" customWidth="1"/>
    <col min="13060" max="13060" width="37.28515625" style="426" customWidth="1"/>
    <col min="13061" max="13061" width="25.7109375" style="426" customWidth="1"/>
    <col min="13062" max="13062" width="22.5703125" style="426" customWidth="1"/>
    <col min="13063" max="13063" width="19.85546875" style="426" customWidth="1"/>
    <col min="13064" max="13064" width="22.28515625" style="426" customWidth="1"/>
    <col min="13065" max="13065" width="0" style="426" hidden="1" customWidth="1"/>
    <col min="13066" max="13312" width="11.42578125" style="426"/>
    <col min="13313" max="13313" width="4.140625" style="426" customWidth="1"/>
    <col min="13314" max="13314" width="16.7109375" style="426" customWidth="1"/>
    <col min="13315" max="13315" width="10.28515625" style="426" customWidth="1"/>
    <col min="13316" max="13316" width="37.28515625" style="426" customWidth="1"/>
    <col min="13317" max="13317" width="25.7109375" style="426" customWidth="1"/>
    <col min="13318" max="13318" width="22.5703125" style="426" customWidth="1"/>
    <col min="13319" max="13319" width="19.85546875" style="426" customWidth="1"/>
    <col min="13320" max="13320" width="22.28515625" style="426" customWidth="1"/>
    <col min="13321" max="13321" width="0" style="426" hidden="1" customWidth="1"/>
    <col min="13322" max="13568" width="11.42578125" style="426"/>
    <col min="13569" max="13569" width="4.140625" style="426" customWidth="1"/>
    <col min="13570" max="13570" width="16.7109375" style="426" customWidth="1"/>
    <col min="13571" max="13571" width="10.28515625" style="426" customWidth="1"/>
    <col min="13572" max="13572" width="37.28515625" style="426" customWidth="1"/>
    <col min="13573" max="13573" width="25.7109375" style="426" customWidth="1"/>
    <col min="13574" max="13574" width="22.5703125" style="426" customWidth="1"/>
    <col min="13575" max="13575" width="19.85546875" style="426" customWidth="1"/>
    <col min="13576" max="13576" width="22.28515625" style="426" customWidth="1"/>
    <col min="13577" max="13577" width="0" style="426" hidden="1" customWidth="1"/>
    <col min="13578" max="13824" width="11.42578125" style="426"/>
    <col min="13825" max="13825" width="4.140625" style="426" customWidth="1"/>
    <col min="13826" max="13826" width="16.7109375" style="426" customWidth="1"/>
    <col min="13827" max="13827" width="10.28515625" style="426" customWidth="1"/>
    <col min="13828" max="13828" width="37.28515625" style="426" customWidth="1"/>
    <col min="13829" max="13829" width="25.7109375" style="426" customWidth="1"/>
    <col min="13830" max="13830" width="22.5703125" style="426" customWidth="1"/>
    <col min="13831" max="13831" width="19.85546875" style="426" customWidth="1"/>
    <col min="13832" max="13832" width="22.28515625" style="426" customWidth="1"/>
    <col min="13833" max="13833" width="0" style="426" hidden="1" customWidth="1"/>
    <col min="13834" max="14080" width="11.42578125" style="426"/>
    <col min="14081" max="14081" width="4.140625" style="426" customWidth="1"/>
    <col min="14082" max="14082" width="16.7109375" style="426" customWidth="1"/>
    <col min="14083" max="14083" width="10.28515625" style="426" customWidth="1"/>
    <col min="14084" max="14084" width="37.28515625" style="426" customWidth="1"/>
    <col min="14085" max="14085" width="25.7109375" style="426" customWidth="1"/>
    <col min="14086" max="14086" width="22.5703125" style="426" customWidth="1"/>
    <col min="14087" max="14087" width="19.85546875" style="426" customWidth="1"/>
    <col min="14088" max="14088" width="22.28515625" style="426" customWidth="1"/>
    <col min="14089" max="14089" width="0" style="426" hidden="1" customWidth="1"/>
    <col min="14090" max="14336" width="11.42578125" style="426"/>
    <col min="14337" max="14337" width="4.140625" style="426" customWidth="1"/>
    <col min="14338" max="14338" width="16.7109375" style="426" customWidth="1"/>
    <col min="14339" max="14339" width="10.28515625" style="426" customWidth="1"/>
    <col min="14340" max="14340" width="37.28515625" style="426" customWidth="1"/>
    <col min="14341" max="14341" width="25.7109375" style="426" customWidth="1"/>
    <col min="14342" max="14342" width="22.5703125" style="426" customWidth="1"/>
    <col min="14343" max="14343" width="19.85546875" style="426" customWidth="1"/>
    <col min="14344" max="14344" width="22.28515625" style="426" customWidth="1"/>
    <col min="14345" max="14345" width="0" style="426" hidden="1" customWidth="1"/>
    <col min="14346" max="14592" width="11.42578125" style="426"/>
    <col min="14593" max="14593" width="4.140625" style="426" customWidth="1"/>
    <col min="14594" max="14594" width="16.7109375" style="426" customWidth="1"/>
    <col min="14595" max="14595" width="10.28515625" style="426" customWidth="1"/>
    <col min="14596" max="14596" width="37.28515625" style="426" customWidth="1"/>
    <col min="14597" max="14597" width="25.7109375" style="426" customWidth="1"/>
    <col min="14598" max="14598" width="22.5703125" style="426" customWidth="1"/>
    <col min="14599" max="14599" width="19.85546875" style="426" customWidth="1"/>
    <col min="14600" max="14600" width="22.28515625" style="426" customWidth="1"/>
    <col min="14601" max="14601" width="0" style="426" hidden="1" customWidth="1"/>
    <col min="14602" max="14848" width="11.42578125" style="426"/>
    <col min="14849" max="14849" width="4.140625" style="426" customWidth="1"/>
    <col min="14850" max="14850" width="16.7109375" style="426" customWidth="1"/>
    <col min="14851" max="14851" width="10.28515625" style="426" customWidth="1"/>
    <col min="14852" max="14852" width="37.28515625" style="426" customWidth="1"/>
    <col min="14853" max="14853" width="25.7109375" style="426" customWidth="1"/>
    <col min="14854" max="14854" width="22.5703125" style="426" customWidth="1"/>
    <col min="14855" max="14855" width="19.85546875" style="426" customWidth="1"/>
    <col min="14856" max="14856" width="22.28515625" style="426" customWidth="1"/>
    <col min="14857" max="14857" width="0" style="426" hidden="1" customWidth="1"/>
    <col min="14858" max="15104" width="11.42578125" style="426"/>
    <col min="15105" max="15105" width="4.140625" style="426" customWidth="1"/>
    <col min="15106" max="15106" width="16.7109375" style="426" customWidth="1"/>
    <col min="15107" max="15107" width="10.28515625" style="426" customWidth="1"/>
    <col min="15108" max="15108" width="37.28515625" style="426" customWidth="1"/>
    <col min="15109" max="15109" width="25.7109375" style="426" customWidth="1"/>
    <col min="15110" max="15110" width="22.5703125" style="426" customWidth="1"/>
    <col min="15111" max="15111" width="19.85546875" style="426" customWidth="1"/>
    <col min="15112" max="15112" width="22.28515625" style="426" customWidth="1"/>
    <col min="15113" max="15113" width="0" style="426" hidden="1" customWidth="1"/>
    <col min="15114" max="15360" width="11.42578125" style="426"/>
    <col min="15361" max="15361" width="4.140625" style="426" customWidth="1"/>
    <col min="15362" max="15362" width="16.7109375" style="426" customWidth="1"/>
    <col min="15363" max="15363" width="10.28515625" style="426" customWidth="1"/>
    <col min="15364" max="15364" width="37.28515625" style="426" customWidth="1"/>
    <col min="15365" max="15365" width="25.7109375" style="426" customWidth="1"/>
    <col min="15366" max="15366" width="22.5703125" style="426" customWidth="1"/>
    <col min="15367" max="15367" width="19.85546875" style="426" customWidth="1"/>
    <col min="15368" max="15368" width="22.28515625" style="426" customWidth="1"/>
    <col min="15369" max="15369" width="0" style="426" hidden="1" customWidth="1"/>
    <col min="15370" max="15616" width="11.42578125" style="426"/>
    <col min="15617" max="15617" width="4.140625" style="426" customWidth="1"/>
    <col min="15618" max="15618" width="16.7109375" style="426" customWidth="1"/>
    <col min="15619" max="15619" width="10.28515625" style="426" customWidth="1"/>
    <col min="15620" max="15620" width="37.28515625" style="426" customWidth="1"/>
    <col min="15621" max="15621" width="25.7109375" style="426" customWidth="1"/>
    <col min="15622" max="15622" width="22.5703125" style="426" customWidth="1"/>
    <col min="15623" max="15623" width="19.85546875" style="426" customWidth="1"/>
    <col min="15624" max="15624" width="22.28515625" style="426" customWidth="1"/>
    <col min="15625" max="15625" width="0" style="426" hidden="1" customWidth="1"/>
    <col min="15626" max="15872" width="11.42578125" style="426"/>
    <col min="15873" max="15873" width="4.140625" style="426" customWidth="1"/>
    <col min="15874" max="15874" width="16.7109375" style="426" customWidth="1"/>
    <col min="15875" max="15875" width="10.28515625" style="426" customWidth="1"/>
    <col min="15876" max="15876" width="37.28515625" style="426" customWidth="1"/>
    <col min="15877" max="15877" width="25.7109375" style="426" customWidth="1"/>
    <col min="15878" max="15878" width="22.5703125" style="426" customWidth="1"/>
    <col min="15879" max="15879" width="19.85546875" style="426" customWidth="1"/>
    <col min="15880" max="15880" width="22.28515625" style="426" customWidth="1"/>
    <col min="15881" max="15881" width="0" style="426" hidden="1" customWidth="1"/>
    <col min="15882" max="16128" width="11.42578125" style="426"/>
    <col min="16129" max="16129" width="4.140625" style="426" customWidth="1"/>
    <col min="16130" max="16130" width="16.7109375" style="426" customWidth="1"/>
    <col min="16131" max="16131" width="10.28515625" style="426" customWidth="1"/>
    <col min="16132" max="16132" width="37.28515625" style="426" customWidth="1"/>
    <col min="16133" max="16133" width="25.7109375" style="426" customWidth="1"/>
    <col min="16134" max="16134" width="22.5703125" style="426" customWidth="1"/>
    <col min="16135" max="16135" width="19.85546875" style="426" customWidth="1"/>
    <col min="16136" max="16136" width="22.28515625" style="426" customWidth="1"/>
    <col min="16137" max="16137" width="0" style="426" hidden="1" customWidth="1"/>
    <col min="16138" max="16384" width="11.42578125" style="426"/>
  </cols>
  <sheetData>
    <row r="1" spans="2:9" s="1259" customFormat="1" ht="21.75" thickBot="1" x14ac:dyDescent="0.25">
      <c r="B1" s="2684" t="s">
        <v>687</v>
      </c>
      <c r="C1" s="2685"/>
      <c r="D1" s="2685"/>
      <c r="E1" s="2685"/>
      <c r="F1" s="2686"/>
      <c r="H1" s="1260"/>
      <c r="I1" s="1261"/>
    </row>
    <row r="2" spans="2:9" s="1259" customFormat="1" x14ac:dyDescent="0.2">
      <c r="B2" s="844">
        <v>2022</v>
      </c>
      <c r="C2" s="845">
        <v>2021</v>
      </c>
      <c r="D2" s="845">
        <v>2020</v>
      </c>
      <c r="E2" s="845">
        <v>2019</v>
      </c>
      <c r="F2" s="845">
        <v>2018</v>
      </c>
      <c r="H2" s="1260"/>
      <c r="I2" s="1261"/>
    </row>
    <row r="3" spans="2:9" s="1259" customFormat="1" x14ac:dyDescent="0.2">
      <c r="B3" s="1262">
        <f>H59</f>
        <v>0.97385620915032678</v>
      </c>
      <c r="C3" s="597">
        <f>94/108</f>
        <v>0.87037037037037035</v>
      </c>
      <c r="D3" s="597">
        <v>0.90629999999999999</v>
      </c>
      <c r="E3" s="597">
        <f>159/174</f>
        <v>0.91379310344827591</v>
      </c>
      <c r="F3" s="597">
        <f>94/104</f>
        <v>0.90384615384615385</v>
      </c>
      <c r="H3" s="1260"/>
      <c r="I3" s="1261"/>
    </row>
    <row r="4" spans="2:9" s="1259" customFormat="1" ht="15.75" thickBot="1" x14ac:dyDescent="0.25">
      <c r="B4" s="1263">
        <f>C59</f>
        <v>51</v>
      </c>
      <c r="C4" s="1263">
        <v>36</v>
      </c>
      <c r="D4" s="1263">
        <v>32</v>
      </c>
      <c r="E4" s="598">
        <v>33</v>
      </c>
      <c r="F4" s="1264">
        <v>18</v>
      </c>
      <c r="H4" s="1260"/>
      <c r="I4" s="1261"/>
    </row>
    <row r="5" spans="2:9" ht="33.75" customHeight="1" thickBot="1" x14ac:dyDescent="0.25">
      <c r="B5" s="2652" t="s">
        <v>851</v>
      </c>
      <c r="C5" s="2653"/>
      <c r="D5" s="2653"/>
      <c r="E5" s="2653"/>
      <c r="F5" s="2653"/>
      <c r="G5" s="2653"/>
      <c r="H5" s="2696"/>
      <c r="I5" s="1700"/>
    </row>
    <row r="6" spans="2:9" ht="57.75" customHeight="1" x14ac:dyDescent="0.2">
      <c r="B6" s="2687" t="s">
        <v>79</v>
      </c>
      <c r="C6" s="2688" t="s">
        <v>675</v>
      </c>
      <c r="D6" s="2690" t="s">
        <v>676</v>
      </c>
      <c r="E6" s="2690" t="s">
        <v>677</v>
      </c>
      <c r="F6" s="2692" t="s">
        <v>1201</v>
      </c>
      <c r="G6" s="2692" t="s">
        <v>678</v>
      </c>
      <c r="H6" s="2692" t="s">
        <v>679</v>
      </c>
      <c r="I6" s="2694" t="s">
        <v>1057</v>
      </c>
    </row>
    <row r="7" spans="2:9" ht="48.75" customHeight="1" thickBot="1" x14ac:dyDescent="0.25">
      <c r="B7" s="2628"/>
      <c r="C7" s="2689"/>
      <c r="D7" s="2691"/>
      <c r="E7" s="2691"/>
      <c r="F7" s="2693"/>
      <c r="G7" s="2693"/>
      <c r="H7" s="2693"/>
      <c r="I7" s="2695"/>
    </row>
    <row r="8" spans="2:9" ht="51" customHeight="1" x14ac:dyDescent="0.2">
      <c r="B8" s="2657" t="s">
        <v>447</v>
      </c>
      <c r="C8" s="2660">
        <v>13</v>
      </c>
      <c r="D8" s="846" t="s">
        <v>1058</v>
      </c>
      <c r="E8" s="847" t="s">
        <v>683</v>
      </c>
      <c r="F8" s="848">
        <v>3</v>
      </c>
      <c r="G8" s="849">
        <v>3</v>
      </c>
      <c r="H8" s="850">
        <f>F8/G8</f>
        <v>1</v>
      </c>
      <c r="I8" s="851" t="s">
        <v>1059</v>
      </c>
    </row>
    <row r="9" spans="2:9" ht="55.5" customHeight="1" x14ac:dyDescent="0.2">
      <c r="B9" s="2658"/>
      <c r="C9" s="2661"/>
      <c r="D9" s="700" t="s">
        <v>1060</v>
      </c>
      <c r="E9" s="852" t="s">
        <v>681</v>
      </c>
      <c r="F9" s="853">
        <v>2</v>
      </c>
      <c r="G9" s="854">
        <v>3</v>
      </c>
      <c r="H9" s="855">
        <f t="shared" ref="H9:H58" si="0">F9/G9</f>
        <v>0.66666666666666663</v>
      </c>
      <c r="I9" s="1003" t="s">
        <v>1061</v>
      </c>
    </row>
    <row r="10" spans="2:9" ht="214.5" customHeight="1" x14ac:dyDescent="0.2">
      <c r="B10" s="2658"/>
      <c r="C10" s="2661"/>
      <c r="D10" s="700" t="s">
        <v>1062</v>
      </c>
      <c r="E10" s="852" t="s">
        <v>683</v>
      </c>
      <c r="F10" s="853">
        <v>3</v>
      </c>
      <c r="G10" s="854">
        <v>3</v>
      </c>
      <c r="H10" s="855">
        <f t="shared" si="0"/>
        <v>1</v>
      </c>
      <c r="I10" s="897" t="s">
        <v>1202</v>
      </c>
    </row>
    <row r="11" spans="2:9" ht="139.5" customHeight="1" x14ac:dyDescent="0.2">
      <c r="B11" s="2658"/>
      <c r="C11" s="2661"/>
      <c r="D11" s="700" t="s">
        <v>1063</v>
      </c>
      <c r="E11" s="852" t="s">
        <v>683</v>
      </c>
      <c r="F11" s="853">
        <v>2</v>
      </c>
      <c r="G11" s="854">
        <v>3</v>
      </c>
      <c r="H11" s="855">
        <f t="shared" si="0"/>
        <v>0.66666666666666663</v>
      </c>
      <c r="I11" s="897" t="s">
        <v>1064</v>
      </c>
    </row>
    <row r="12" spans="2:9" ht="111" customHeight="1" x14ac:dyDescent="0.2">
      <c r="B12" s="2658"/>
      <c r="C12" s="2661"/>
      <c r="D12" s="700" t="s">
        <v>1065</v>
      </c>
      <c r="E12" s="857" t="s">
        <v>689</v>
      </c>
      <c r="F12" s="853">
        <v>3</v>
      </c>
      <c r="G12" s="854">
        <v>3</v>
      </c>
      <c r="H12" s="855">
        <f t="shared" si="0"/>
        <v>1</v>
      </c>
      <c r="I12" s="851" t="s">
        <v>1066</v>
      </c>
    </row>
    <row r="13" spans="2:9" ht="121.5" customHeight="1" x14ac:dyDescent="0.2">
      <c r="B13" s="2658"/>
      <c r="C13" s="2661"/>
      <c r="D13" s="858" t="s">
        <v>1067</v>
      </c>
      <c r="E13" s="859" t="s">
        <v>683</v>
      </c>
      <c r="F13" s="853">
        <v>3</v>
      </c>
      <c r="G13" s="854">
        <v>3</v>
      </c>
      <c r="H13" s="855">
        <f t="shared" si="0"/>
        <v>1</v>
      </c>
      <c r="I13" s="897" t="s">
        <v>1203</v>
      </c>
    </row>
    <row r="14" spans="2:9" ht="123.75" customHeight="1" x14ac:dyDescent="0.2">
      <c r="B14" s="2658"/>
      <c r="C14" s="2661"/>
      <c r="D14" s="858" t="s">
        <v>1068</v>
      </c>
      <c r="E14" s="859" t="s">
        <v>683</v>
      </c>
      <c r="F14" s="853">
        <v>3</v>
      </c>
      <c r="G14" s="854">
        <v>3</v>
      </c>
      <c r="H14" s="855">
        <f t="shared" si="0"/>
        <v>1</v>
      </c>
      <c r="I14" s="856" t="s">
        <v>1204</v>
      </c>
    </row>
    <row r="15" spans="2:9" ht="122.25" customHeight="1" x14ac:dyDescent="0.2">
      <c r="B15" s="2658"/>
      <c r="C15" s="2661"/>
      <c r="D15" s="860" t="s">
        <v>1069</v>
      </c>
      <c r="E15" s="859" t="s">
        <v>684</v>
      </c>
      <c r="F15" s="853">
        <v>3</v>
      </c>
      <c r="G15" s="854">
        <v>3</v>
      </c>
      <c r="H15" s="855">
        <f t="shared" si="0"/>
        <v>1</v>
      </c>
      <c r="I15" s="856" t="s">
        <v>1205</v>
      </c>
    </row>
    <row r="16" spans="2:9" ht="83.25" customHeight="1" x14ac:dyDescent="0.2">
      <c r="B16" s="2658"/>
      <c r="C16" s="2661"/>
      <c r="D16" s="700" t="s">
        <v>1070</v>
      </c>
      <c r="E16" s="852" t="s">
        <v>747</v>
      </c>
      <c r="F16" s="861">
        <v>3</v>
      </c>
      <c r="G16" s="854">
        <v>3</v>
      </c>
      <c r="H16" s="855">
        <f t="shared" si="0"/>
        <v>1</v>
      </c>
      <c r="I16" s="851" t="s">
        <v>1071</v>
      </c>
    </row>
    <row r="17" spans="1:9" ht="208.5" customHeight="1" x14ac:dyDescent="0.2">
      <c r="B17" s="2658"/>
      <c r="C17" s="2661"/>
      <c r="D17" s="700" t="s">
        <v>1072</v>
      </c>
      <c r="E17" s="852" t="s">
        <v>683</v>
      </c>
      <c r="F17" s="861">
        <v>3</v>
      </c>
      <c r="G17" s="854">
        <v>3</v>
      </c>
      <c r="H17" s="855">
        <f t="shared" si="0"/>
        <v>1</v>
      </c>
      <c r="I17" s="1004" t="s">
        <v>1206</v>
      </c>
    </row>
    <row r="18" spans="1:9" ht="57" customHeight="1" x14ac:dyDescent="0.2">
      <c r="B18" s="2658"/>
      <c r="C18" s="2661"/>
      <c r="D18" s="700" t="s">
        <v>1073</v>
      </c>
      <c r="E18" s="852" t="s">
        <v>683</v>
      </c>
      <c r="F18" s="853">
        <v>3</v>
      </c>
      <c r="G18" s="854">
        <v>3</v>
      </c>
      <c r="H18" s="855">
        <f t="shared" si="0"/>
        <v>1</v>
      </c>
      <c r="I18" s="851" t="s">
        <v>1074</v>
      </c>
    </row>
    <row r="19" spans="1:9" ht="184.5" customHeight="1" x14ac:dyDescent="0.2">
      <c r="B19" s="2658"/>
      <c r="C19" s="2661"/>
      <c r="D19" s="700" t="s">
        <v>1075</v>
      </c>
      <c r="E19" s="852" t="s">
        <v>683</v>
      </c>
      <c r="F19" s="853">
        <v>3</v>
      </c>
      <c r="G19" s="854">
        <v>3</v>
      </c>
      <c r="H19" s="855">
        <f t="shared" si="0"/>
        <v>1</v>
      </c>
      <c r="I19" s="1004" t="s">
        <v>1207</v>
      </c>
    </row>
    <row r="20" spans="1:9" ht="51" customHeight="1" thickBot="1" x14ac:dyDescent="0.25">
      <c r="B20" s="2659"/>
      <c r="C20" s="2662"/>
      <c r="D20" s="862" t="s">
        <v>1076</v>
      </c>
      <c r="E20" s="863" t="s">
        <v>689</v>
      </c>
      <c r="F20" s="864">
        <v>3</v>
      </c>
      <c r="G20" s="865">
        <v>3</v>
      </c>
      <c r="H20" s="866">
        <f t="shared" si="0"/>
        <v>1</v>
      </c>
      <c r="I20" s="867" t="s">
        <v>1077</v>
      </c>
    </row>
    <row r="21" spans="1:9" ht="126.75" customHeight="1" thickBot="1" x14ac:dyDescent="0.25">
      <c r="B21" s="868" t="s">
        <v>448</v>
      </c>
      <c r="C21" s="1244">
        <v>1</v>
      </c>
      <c r="D21" s="869" t="s">
        <v>1078</v>
      </c>
      <c r="E21" s="870" t="s">
        <v>682</v>
      </c>
      <c r="F21" s="871">
        <v>3</v>
      </c>
      <c r="G21" s="872">
        <v>3</v>
      </c>
      <c r="H21" s="873">
        <f t="shared" si="0"/>
        <v>1</v>
      </c>
      <c r="I21" s="1005" t="s">
        <v>1208</v>
      </c>
    </row>
    <row r="22" spans="1:9" ht="69" customHeight="1" x14ac:dyDescent="0.2">
      <c r="B22" s="2657" t="s">
        <v>449</v>
      </c>
      <c r="C22" s="2660">
        <v>6</v>
      </c>
      <c r="D22" s="875" t="s">
        <v>1079</v>
      </c>
      <c r="E22" s="876" t="s">
        <v>682</v>
      </c>
      <c r="F22" s="848">
        <v>3</v>
      </c>
      <c r="G22" s="849">
        <v>3</v>
      </c>
      <c r="H22" s="850">
        <f t="shared" si="0"/>
        <v>1</v>
      </c>
      <c r="I22" s="1006" t="s">
        <v>1209</v>
      </c>
    </row>
    <row r="23" spans="1:9" ht="105.75" customHeight="1" x14ac:dyDescent="0.2">
      <c r="B23" s="2658"/>
      <c r="C23" s="2661"/>
      <c r="D23" s="1249" t="s">
        <v>1080</v>
      </c>
      <c r="E23" s="857" t="s">
        <v>682</v>
      </c>
      <c r="F23" s="853">
        <v>3</v>
      </c>
      <c r="G23" s="854">
        <v>3</v>
      </c>
      <c r="H23" s="855">
        <f t="shared" si="0"/>
        <v>1</v>
      </c>
      <c r="I23" s="1006" t="s">
        <v>1210</v>
      </c>
    </row>
    <row r="24" spans="1:9" ht="81" customHeight="1" x14ac:dyDescent="0.2">
      <c r="B24" s="2658"/>
      <c r="C24" s="2661"/>
      <c r="D24" s="859" t="s">
        <v>1081</v>
      </c>
      <c r="E24" s="857" t="s">
        <v>682</v>
      </c>
      <c r="F24" s="853">
        <v>3</v>
      </c>
      <c r="G24" s="854">
        <v>3</v>
      </c>
      <c r="H24" s="855">
        <f t="shared" si="0"/>
        <v>1</v>
      </c>
      <c r="I24" s="1006" t="s">
        <v>1211</v>
      </c>
    </row>
    <row r="25" spans="1:9" ht="57.75" customHeight="1" x14ac:dyDescent="0.2">
      <c r="B25" s="2658"/>
      <c r="C25" s="2661"/>
      <c r="D25" s="859" t="s">
        <v>1082</v>
      </c>
      <c r="E25" s="857" t="s">
        <v>682</v>
      </c>
      <c r="F25" s="853">
        <v>3</v>
      </c>
      <c r="G25" s="854">
        <v>3</v>
      </c>
      <c r="H25" s="855">
        <f t="shared" si="0"/>
        <v>1</v>
      </c>
      <c r="I25" s="1006" t="s">
        <v>1212</v>
      </c>
    </row>
    <row r="26" spans="1:9" ht="222" customHeight="1" x14ac:dyDescent="0.2">
      <c r="B26" s="2658"/>
      <c r="C26" s="2661"/>
      <c r="D26" s="859" t="s">
        <v>1083</v>
      </c>
      <c r="E26" s="857" t="s">
        <v>682</v>
      </c>
      <c r="F26" s="853">
        <v>3</v>
      </c>
      <c r="G26" s="854">
        <v>3</v>
      </c>
      <c r="H26" s="855">
        <f t="shared" si="0"/>
        <v>1</v>
      </c>
      <c r="I26" s="856" t="s">
        <v>1084</v>
      </c>
    </row>
    <row r="27" spans="1:9" ht="213.75" customHeight="1" thickBot="1" x14ac:dyDescent="0.25">
      <c r="B27" s="2659"/>
      <c r="C27" s="2662"/>
      <c r="D27" s="862" t="s">
        <v>1085</v>
      </c>
      <c r="E27" s="863" t="s">
        <v>683</v>
      </c>
      <c r="F27" s="864">
        <v>3</v>
      </c>
      <c r="G27" s="865">
        <v>3</v>
      </c>
      <c r="H27" s="866">
        <f t="shared" si="0"/>
        <v>1</v>
      </c>
      <c r="I27" s="878" t="s">
        <v>1086</v>
      </c>
    </row>
    <row r="28" spans="1:9" ht="84.75" customHeight="1" x14ac:dyDescent="0.2">
      <c r="A28" s="879"/>
      <c r="B28" s="2663" t="s">
        <v>450</v>
      </c>
      <c r="C28" s="2665">
        <v>2</v>
      </c>
      <c r="D28" s="1242" t="s">
        <v>1213</v>
      </c>
      <c r="E28" s="880" t="s">
        <v>689</v>
      </c>
      <c r="F28" s="881">
        <v>3</v>
      </c>
      <c r="G28" s="882">
        <v>3</v>
      </c>
      <c r="H28" s="883">
        <f t="shared" si="0"/>
        <v>1</v>
      </c>
      <c r="I28" s="1007" t="s">
        <v>1214</v>
      </c>
    </row>
    <row r="29" spans="1:9" ht="409.5" customHeight="1" thickBot="1" x14ac:dyDescent="0.25">
      <c r="A29" s="884"/>
      <c r="B29" s="2664"/>
      <c r="C29" s="2666"/>
      <c r="D29" s="1243" t="s">
        <v>1087</v>
      </c>
      <c r="E29" s="885" t="s">
        <v>689</v>
      </c>
      <c r="F29" s="886">
        <v>3</v>
      </c>
      <c r="G29" s="887">
        <v>3</v>
      </c>
      <c r="H29" s="883">
        <f t="shared" si="0"/>
        <v>1</v>
      </c>
      <c r="I29" s="1008" t="s">
        <v>1215</v>
      </c>
    </row>
    <row r="30" spans="1:9" ht="386.25" customHeight="1" x14ac:dyDescent="0.2">
      <c r="B30" s="2671" t="s">
        <v>262</v>
      </c>
      <c r="C30" s="2660">
        <v>5</v>
      </c>
      <c r="D30" s="888" t="s">
        <v>1088</v>
      </c>
      <c r="E30" s="876" t="s">
        <v>682</v>
      </c>
      <c r="F30" s="848">
        <v>3</v>
      </c>
      <c r="G30" s="849">
        <v>3</v>
      </c>
      <c r="H30" s="850">
        <f t="shared" si="0"/>
        <v>1</v>
      </c>
      <c r="I30" s="1009" t="s">
        <v>1216</v>
      </c>
    </row>
    <row r="31" spans="1:9" ht="99" customHeight="1" x14ac:dyDescent="0.2">
      <c r="B31" s="2672"/>
      <c r="C31" s="2661"/>
      <c r="D31" s="890" t="s">
        <v>1089</v>
      </c>
      <c r="E31" s="891" t="s">
        <v>682</v>
      </c>
      <c r="F31" s="892">
        <v>3</v>
      </c>
      <c r="G31" s="893">
        <v>3</v>
      </c>
      <c r="H31" s="894">
        <f t="shared" si="0"/>
        <v>1</v>
      </c>
      <c r="I31" s="895" t="s">
        <v>1090</v>
      </c>
    </row>
    <row r="32" spans="1:9" ht="154.5" customHeight="1" x14ac:dyDescent="0.2">
      <c r="B32" s="2672"/>
      <c r="C32" s="2661"/>
      <c r="D32" s="896" t="s">
        <v>1091</v>
      </c>
      <c r="E32" s="859" t="s">
        <v>683</v>
      </c>
      <c r="F32" s="853">
        <v>3</v>
      </c>
      <c r="G32" s="854">
        <v>3</v>
      </c>
      <c r="H32" s="855">
        <f t="shared" si="0"/>
        <v>1</v>
      </c>
      <c r="I32" s="897" t="s">
        <v>1092</v>
      </c>
    </row>
    <row r="33" spans="2:10" ht="163.5" customHeight="1" x14ac:dyDescent="0.2">
      <c r="B33" s="2672"/>
      <c r="C33" s="2661"/>
      <c r="D33" s="859" t="s">
        <v>1093</v>
      </c>
      <c r="E33" s="857" t="s">
        <v>682</v>
      </c>
      <c r="F33" s="853">
        <v>3</v>
      </c>
      <c r="G33" s="854">
        <v>3</v>
      </c>
      <c r="H33" s="855">
        <f t="shared" si="0"/>
        <v>1</v>
      </c>
      <c r="I33" s="897" t="s">
        <v>1217</v>
      </c>
    </row>
    <row r="34" spans="2:10" ht="231" customHeight="1" thickBot="1" x14ac:dyDescent="0.25">
      <c r="B34" s="2673"/>
      <c r="C34" s="2662"/>
      <c r="D34" s="862" t="s">
        <v>1094</v>
      </c>
      <c r="E34" s="863" t="s">
        <v>682</v>
      </c>
      <c r="F34" s="864">
        <v>3</v>
      </c>
      <c r="G34" s="865">
        <v>3</v>
      </c>
      <c r="H34" s="866">
        <f t="shared" si="0"/>
        <v>1</v>
      </c>
      <c r="I34" s="898" t="s">
        <v>1218</v>
      </c>
    </row>
    <row r="35" spans="2:10" ht="146.25" customHeight="1" thickBot="1" x14ac:dyDescent="0.25">
      <c r="B35" s="2674" t="s">
        <v>259</v>
      </c>
      <c r="C35" s="2675">
        <v>2</v>
      </c>
      <c r="D35" s="1242" t="s">
        <v>1095</v>
      </c>
      <c r="E35" s="880" t="s">
        <v>681</v>
      </c>
      <c r="F35" s="881">
        <v>3</v>
      </c>
      <c r="G35" s="882">
        <v>3</v>
      </c>
      <c r="H35" s="883">
        <f t="shared" si="0"/>
        <v>1</v>
      </c>
      <c r="I35" s="898" t="s">
        <v>1229</v>
      </c>
    </row>
    <row r="36" spans="2:10" ht="99.75" customHeight="1" thickBot="1" x14ac:dyDescent="0.25">
      <c r="B36" s="2674"/>
      <c r="C36" s="2675"/>
      <c r="D36" s="1243" t="s">
        <v>1096</v>
      </c>
      <c r="E36" s="885" t="s">
        <v>681</v>
      </c>
      <c r="F36" s="886">
        <v>3</v>
      </c>
      <c r="G36" s="887">
        <v>3</v>
      </c>
      <c r="H36" s="899">
        <f t="shared" si="0"/>
        <v>1</v>
      </c>
      <c r="I36" s="1012" t="s">
        <v>1230</v>
      </c>
    </row>
    <row r="37" spans="2:10" ht="402.75" customHeight="1" x14ac:dyDescent="0.2">
      <c r="B37" s="2657" t="s">
        <v>103</v>
      </c>
      <c r="C37" s="2660">
        <v>2</v>
      </c>
      <c r="D37" s="900" t="s">
        <v>1219</v>
      </c>
      <c r="E37" s="876" t="s">
        <v>682</v>
      </c>
      <c r="F37" s="848">
        <v>3</v>
      </c>
      <c r="G37" s="849">
        <v>3</v>
      </c>
      <c r="H37" s="850">
        <f t="shared" si="0"/>
        <v>1</v>
      </c>
      <c r="I37" s="889" t="s">
        <v>1220</v>
      </c>
    </row>
    <row r="38" spans="2:10" ht="297" customHeight="1" thickBot="1" x14ac:dyDescent="0.25">
      <c r="B38" s="2676"/>
      <c r="C38" s="2677"/>
      <c r="D38" s="901" t="s">
        <v>1221</v>
      </c>
      <c r="E38" s="902" t="s">
        <v>682</v>
      </c>
      <c r="F38" s="886">
        <v>3</v>
      </c>
      <c r="G38" s="887">
        <v>3</v>
      </c>
      <c r="H38" s="899">
        <f t="shared" si="0"/>
        <v>1</v>
      </c>
      <c r="I38" s="903" t="s">
        <v>1222</v>
      </c>
    </row>
    <row r="39" spans="2:10" ht="137.25" customHeight="1" x14ac:dyDescent="0.2">
      <c r="B39" s="2657" t="s">
        <v>109</v>
      </c>
      <c r="C39" s="2660">
        <v>4</v>
      </c>
      <c r="D39" s="904" t="s">
        <v>1097</v>
      </c>
      <c r="E39" s="876" t="s">
        <v>682</v>
      </c>
      <c r="F39" s="905">
        <v>3</v>
      </c>
      <c r="G39" s="849">
        <v>3</v>
      </c>
      <c r="H39" s="850">
        <f t="shared" si="0"/>
        <v>1</v>
      </c>
      <c r="I39" s="877" t="s">
        <v>1098</v>
      </c>
    </row>
    <row r="40" spans="2:10" ht="192.75" customHeight="1" x14ac:dyDescent="0.2">
      <c r="B40" s="2658"/>
      <c r="C40" s="2661"/>
      <c r="D40" s="906" t="s">
        <v>1099</v>
      </c>
      <c r="E40" s="857" t="s">
        <v>689</v>
      </c>
      <c r="F40" s="853">
        <v>3</v>
      </c>
      <c r="G40" s="854">
        <v>3</v>
      </c>
      <c r="H40" s="855">
        <v>1</v>
      </c>
      <c r="I40" s="897" t="s">
        <v>1263</v>
      </c>
    </row>
    <row r="41" spans="2:10" ht="66.75" customHeight="1" x14ac:dyDescent="0.2">
      <c r="B41" s="2658"/>
      <c r="C41" s="2661"/>
      <c r="D41" s="907" t="s">
        <v>1100</v>
      </c>
      <c r="E41" s="857" t="s">
        <v>684</v>
      </c>
      <c r="F41" s="861">
        <v>3</v>
      </c>
      <c r="G41" s="854">
        <v>3</v>
      </c>
      <c r="H41" s="855">
        <f t="shared" si="0"/>
        <v>1</v>
      </c>
      <c r="I41" s="897" t="s">
        <v>1264</v>
      </c>
    </row>
    <row r="42" spans="2:10" ht="167.25" customHeight="1" thickBot="1" x14ac:dyDescent="0.25">
      <c r="B42" s="2659"/>
      <c r="C42" s="2662"/>
      <c r="D42" s="908" t="s">
        <v>1101</v>
      </c>
      <c r="E42" s="863" t="s">
        <v>682</v>
      </c>
      <c r="F42" s="909">
        <v>3</v>
      </c>
      <c r="G42" s="865">
        <v>3</v>
      </c>
      <c r="H42" s="866">
        <f t="shared" si="0"/>
        <v>1</v>
      </c>
      <c r="I42" s="910" t="s">
        <v>1102</v>
      </c>
      <c r="J42" s="911">
        <f>4.8*4</f>
        <v>19.2</v>
      </c>
    </row>
    <row r="43" spans="2:10" ht="66" customHeight="1" thickBot="1" x14ac:dyDescent="0.25">
      <c r="B43" s="868" t="s">
        <v>461</v>
      </c>
      <c r="C43" s="912">
        <v>1</v>
      </c>
      <c r="D43" s="913" t="s">
        <v>1103</v>
      </c>
      <c r="E43" s="870" t="s">
        <v>680</v>
      </c>
      <c r="F43" s="914">
        <v>3</v>
      </c>
      <c r="G43" s="872">
        <v>3</v>
      </c>
      <c r="H43" s="873">
        <f t="shared" si="0"/>
        <v>1</v>
      </c>
      <c r="I43" s="874" t="s">
        <v>1104</v>
      </c>
    </row>
    <row r="44" spans="2:10" ht="189" customHeight="1" x14ac:dyDescent="0.2">
      <c r="B44" s="2657" t="s">
        <v>472</v>
      </c>
      <c r="C44" s="2678">
        <v>4</v>
      </c>
      <c r="D44" s="888" t="s">
        <v>1105</v>
      </c>
      <c r="E44" s="876" t="s">
        <v>680</v>
      </c>
      <c r="F44" s="848">
        <v>3</v>
      </c>
      <c r="G44" s="849">
        <v>3</v>
      </c>
      <c r="H44" s="850">
        <f t="shared" si="0"/>
        <v>1</v>
      </c>
      <c r="I44" s="1010" t="s">
        <v>1223</v>
      </c>
    </row>
    <row r="45" spans="2:10" ht="102.75" customHeight="1" x14ac:dyDescent="0.2">
      <c r="B45" s="2658"/>
      <c r="C45" s="2679"/>
      <c r="D45" s="859" t="s">
        <v>1106</v>
      </c>
      <c r="E45" s="857" t="s">
        <v>680</v>
      </c>
      <c r="F45" s="853">
        <v>3</v>
      </c>
      <c r="G45" s="854">
        <v>3</v>
      </c>
      <c r="H45" s="855">
        <f t="shared" si="0"/>
        <v>1</v>
      </c>
      <c r="I45" s="897" t="s">
        <v>1224</v>
      </c>
    </row>
    <row r="46" spans="2:10" ht="257.25" customHeight="1" x14ac:dyDescent="0.2">
      <c r="B46" s="2658"/>
      <c r="C46" s="2679"/>
      <c r="D46" s="859" t="s">
        <v>1107</v>
      </c>
      <c r="E46" s="857" t="s">
        <v>680</v>
      </c>
      <c r="F46" s="853">
        <v>3</v>
      </c>
      <c r="G46" s="854">
        <v>3</v>
      </c>
      <c r="H46" s="855">
        <f t="shared" si="0"/>
        <v>1</v>
      </c>
      <c r="I46" s="897" t="s">
        <v>1225</v>
      </c>
    </row>
    <row r="47" spans="2:10" ht="192" customHeight="1" x14ac:dyDescent="0.2">
      <c r="B47" s="2658"/>
      <c r="C47" s="2679"/>
      <c r="D47" s="859" t="s">
        <v>1108</v>
      </c>
      <c r="E47" s="857" t="s">
        <v>680</v>
      </c>
      <c r="F47" s="853">
        <v>3</v>
      </c>
      <c r="G47" s="854">
        <v>3</v>
      </c>
      <c r="H47" s="855">
        <f t="shared" si="0"/>
        <v>1</v>
      </c>
      <c r="I47" s="897" t="s">
        <v>1193</v>
      </c>
    </row>
    <row r="48" spans="2:10" ht="248.25" customHeight="1" thickBot="1" x14ac:dyDescent="0.25">
      <c r="B48" s="2659"/>
      <c r="C48" s="2680"/>
      <c r="D48" s="915" t="s">
        <v>1109</v>
      </c>
      <c r="E48" s="862" t="s">
        <v>683</v>
      </c>
      <c r="F48" s="864">
        <v>2</v>
      </c>
      <c r="G48" s="865">
        <v>3</v>
      </c>
      <c r="H48" s="866">
        <f>F48/G48</f>
        <v>0.66666666666666663</v>
      </c>
      <c r="I48" s="898" t="s">
        <v>1226</v>
      </c>
    </row>
    <row r="49" spans="2:9" s="918" customFormat="1" ht="64.5" customHeight="1" x14ac:dyDescent="0.2">
      <c r="B49" s="2681" t="s">
        <v>263</v>
      </c>
      <c r="C49" s="2682">
        <v>4</v>
      </c>
      <c r="D49" s="1242" t="s">
        <v>1110</v>
      </c>
      <c r="E49" s="916" t="s">
        <v>684</v>
      </c>
      <c r="F49" s="881">
        <v>3</v>
      </c>
      <c r="G49" s="882">
        <v>3</v>
      </c>
      <c r="H49" s="883">
        <f t="shared" si="0"/>
        <v>1</v>
      </c>
      <c r="I49" s="917" t="s">
        <v>1111</v>
      </c>
    </row>
    <row r="50" spans="2:9" ht="195" customHeight="1" x14ac:dyDescent="0.2">
      <c r="B50" s="2658"/>
      <c r="C50" s="2661"/>
      <c r="D50" s="859" t="s">
        <v>1112</v>
      </c>
      <c r="E50" s="857" t="s">
        <v>684</v>
      </c>
      <c r="F50" s="853">
        <v>2</v>
      </c>
      <c r="G50" s="854">
        <v>3</v>
      </c>
      <c r="H50" s="855">
        <f t="shared" si="0"/>
        <v>0.66666666666666663</v>
      </c>
      <c r="I50" s="897" t="s">
        <v>1227</v>
      </c>
    </row>
    <row r="51" spans="2:9" ht="147.75" customHeight="1" x14ac:dyDescent="0.2">
      <c r="B51" s="2658"/>
      <c r="C51" s="2661"/>
      <c r="D51" s="859" t="s">
        <v>1113</v>
      </c>
      <c r="E51" s="857" t="s">
        <v>684</v>
      </c>
      <c r="F51" s="853">
        <v>3</v>
      </c>
      <c r="G51" s="854">
        <v>3</v>
      </c>
      <c r="H51" s="855">
        <f t="shared" si="0"/>
        <v>1</v>
      </c>
      <c r="I51" s="1006" t="s">
        <v>1228</v>
      </c>
    </row>
    <row r="52" spans="2:9" ht="177" customHeight="1" thickBot="1" x14ac:dyDescent="0.25">
      <c r="B52" s="919" t="s">
        <v>443</v>
      </c>
      <c r="C52" s="920">
        <v>1</v>
      </c>
      <c r="D52" s="921" t="s">
        <v>1114</v>
      </c>
      <c r="E52" s="922" t="s">
        <v>689</v>
      </c>
      <c r="F52" s="923">
        <v>3</v>
      </c>
      <c r="G52" s="924">
        <v>3</v>
      </c>
      <c r="H52" s="925">
        <f t="shared" si="0"/>
        <v>1</v>
      </c>
      <c r="I52" s="926" t="s">
        <v>1115</v>
      </c>
    </row>
    <row r="53" spans="2:9" ht="233.25" customHeight="1" x14ac:dyDescent="0.2">
      <c r="B53" s="1247" t="s">
        <v>260</v>
      </c>
      <c r="C53" s="1248">
        <v>1</v>
      </c>
      <c r="D53" s="1242" t="s">
        <v>1238</v>
      </c>
      <c r="E53" s="880" t="s">
        <v>681</v>
      </c>
      <c r="F53" s="881">
        <v>3</v>
      </c>
      <c r="G53" s="882">
        <v>3</v>
      </c>
      <c r="H53" s="883">
        <f t="shared" si="0"/>
        <v>1</v>
      </c>
      <c r="I53" s="927" t="s">
        <v>1239</v>
      </c>
    </row>
    <row r="54" spans="2:9" ht="409.5" customHeight="1" x14ac:dyDescent="0.2">
      <c r="B54" s="1245" t="s">
        <v>412</v>
      </c>
      <c r="C54" s="1246">
        <v>1</v>
      </c>
      <c r="D54" s="928" t="s">
        <v>1116</v>
      </c>
      <c r="E54" s="857" t="s">
        <v>689</v>
      </c>
      <c r="F54" s="853">
        <v>3</v>
      </c>
      <c r="G54" s="854">
        <v>3</v>
      </c>
      <c r="H54" s="855">
        <f t="shared" si="0"/>
        <v>1</v>
      </c>
      <c r="I54" s="1013" t="s">
        <v>1231</v>
      </c>
    </row>
    <row r="55" spans="2:9" ht="269.25" customHeight="1" x14ac:dyDescent="0.2">
      <c r="B55" s="1240" t="s">
        <v>105</v>
      </c>
      <c r="C55" s="1241">
        <v>1</v>
      </c>
      <c r="D55" s="859" t="s">
        <v>1117</v>
      </c>
      <c r="E55" s="859" t="s">
        <v>683</v>
      </c>
      <c r="F55" s="853">
        <v>3</v>
      </c>
      <c r="G55" s="854">
        <v>3</v>
      </c>
      <c r="H55" s="855">
        <f t="shared" si="0"/>
        <v>1</v>
      </c>
      <c r="I55" s="929" t="s">
        <v>1118</v>
      </c>
    </row>
    <row r="56" spans="2:9" ht="85.5" customHeight="1" x14ac:dyDescent="0.2">
      <c r="B56" s="2683" t="s">
        <v>261</v>
      </c>
      <c r="C56" s="2661">
        <v>3</v>
      </c>
      <c r="D56" s="907" t="s">
        <v>1119</v>
      </c>
      <c r="E56" s="859" t="s">
        <v>716</v>
      </c>
      <c r="F56" s="853">
        <v>3</v>
      </c>
      <c r="G56" s="854">
        <v>3</v>
      </c>
      <c r="H56" s="855">
        <f t="shared" si="0"/>
        <v>1</v>
      </c>
      <c r="I56" s="930" t="s">
        <v>1120</v>
      </c>
    </row>
    <row r="57" spans="2:9" ht="68.25" customHeight="1" x14ac:dyDescent="0.2">
      <c r="B57" s="2683"/>
      <c r="C57" s="2661"/>
      <c r="D57" s="907" t="s">
        <v>1121</v>
      </c>
      <c r="E57" s="859" t="s">
        <v>716</v>
      </c>
      <c r="F57" s="853">
        <v>3</v>
      </c>
      <c r="G57" s="854">
        <v>3</v>
      </c>
      <c r="H57" s="855">
        <f t="shared" si="0"/>
        <v>1</v>
      </c>
      <c r="I57" s="931" t="s">
        <v>1122</v>
      </c>
    </row>
    <row r="58" spans="2:9" ht="41.25" customHeight="1" x14ac:dyDescent="0.2">
      <c r="B58" s="2683"/>
      <c r="C58" s="2661"/>
      <c r="D58" s="906" t="s">
        <v>1123</v>
      </c>
      <c r="E58" s="859" t="s">
        <v>716</v>
      </c>
      <c r="F58" s="853">
        <v>3</v>
      </c>
      <c r="G58" s="854">
        <v>3</v>
      </c>
      <c r="H58" s="855">
        <f t="shared" si="0"/>
        <v>1</v>
      </c>
      <c r="I58" s="1239" t="s">
        <v>1124</v>
      </c>
    </row>
    <row r="59" spans="2:9" ht="106.5" customHeight="1" thickBot="1" x14ac:dyDescent="0.25">
      <c r="B59" s="932" t="s">
        <v>117</v>
      </c>
      <c r="C59" s="933">
        <f>SUM(C8:C58)</f>
        <v>51</v>
      </c>
      <c r="D59" s="2667" t="s">
        <v>1125</v>
      </c>
      <c r="E59" s="2667"/>
      <c r="F59" s="934">
        <f>SUM(F8:F58)</f>
        <v>149</v>
      </c>
      <c r="G59" s="935">
        <f>SUM(G8:G58)</f>
        <v>153</v>
      </c>
      <c r="H59" s="936">
        <f>F59/G59</f>
        <v>0.97385620915032678</v>
      </c>
      <c r="I59" s="874"/>
    </row>
    <row r="60" spans="2:9" ht="191.25" customHeight="1" thickBot="1" x14ac:dyDescent="0.25">
      <c r="B60" s="2668" t="s">
        <v>1265</v>
      </c>
      <c r="C60" s="2669"/>
      <c r="D60" s="2669"/>
      <c r="E60" s="2669"/>
      <c r="F60" s="2669"/>
      <c r="G60" s="2669"/>
      <c r="H60" s="2669"/>
      <c r="I60" s="2670"/>
    </row>
  </sheetData>
  <mergeCells count="32">
    <mergeCell ref="G6:G7"/>
    <mergeCell ref="H6:H7"/>
    <mergeCell ref="I6:I7"/>
    <mergeCell ref="C8:C20"/>
    <mergeCell ref="B5:H5"/>
    <mergeCell ref="B1:F1"/>
    <mergeCell ref="B8:B20"/>
    <mergeCell ref="B6:B7"/>
    <mergeCell ref="C6:C7"/>
    <mergeCell ref="D6:D7"/>
    <mergeCell ref="E6:E7"/>
    <mergeCell ref="F6:F7"/>
    <mergeCell ref="B60:I60"/>
    <mergeCell ref="B30:B34"/>
    <mergeCell ref="C30:C34"/>
    <mergeCell ref="B35:B36"/>
    <mergeCell ref="C35:C36"/>
    <mergeCell ref="B37:B38"/>
    <mergeCell ref="C37:C38"/>
    <mergeCell ref="B39:B42"/>
    <mergeCell ref="C39:C42"/>
    <mergeCell ref="B44:B48"/>
    <mergeCell ref="C44:C48"/>
    <mergeCell ref="B49:B51"/>
    <mergeCell ref="C49:C51"/>
    <mergeCell ref="B56:B58"/>
    <mergeCell ref="C56:C58"/>
    <mergeCell ref="B22:B27"/>
    <mergeCell ref="C22:C27"/>
    <mergeCell ref="B28:B29"/>
    <mergeCell ref="C28:C29"/>
    <mergeCell ref="D59:E59"/>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7030A0"/>
  </sheetPr>
  <dimension ref="A2:J22"/>
  <sheetViews>
    <sheetView topLeftCell="A18" zoomScale="90" zoomScaleNormal="90" workbookViewId="0">
      <selection activeCell="A2" sqref="A2:I22"/>
    </sheetView>
  </sheetViews>
  <sheetFormatPr baseColWidth="10" defaultRowHeight="12.75" x14ac:dyDescent="0.2"/>
  <cols>
    <col min="1" max="1" width="46.42578125" style="222" customWidth="1"/>
    <col min="2" max="2" width="14.28515625" style="222" hidden="1" customWidth="1"/>
    <col min="3" max="4" width="14.28515625" style="448" hidden="1" customWidth="1"/>
    <col min="5" max="5" width="15.85546875" style="448" hidden="1" customWidth="1"/>
    <col min="6" max="6" width="17.7109375" style="448" hidden="1" customWidth="1"/>
    <col min="7" max="7" width="17.7109375" style="448" customWidth="1"/>
    <col min="8" max="8" width="20" style="448" customWidth="1"/>
    <col min="9" max="9" width="15.85546875" style="448" customWidth="1"/>
    <col min="10" max="10" width="11.28515625" style="222" customWidth="1"/>
    <col min="11" max="18" width="11.42578125" style="222"/>
    <col min="19" max="21" width="14.28515625" style="222" customWidth="1"/>
    <col min="22" max="22" width="15.28515625" style="222" customWidth="1"/>
    <col min="23" max="254" width="11.42578125" style="222"/>
    <col min="255" max="255" width="46.42578125" style="222" customWidth="1"/>
    <col min="256" max="256" width="0" style="222" hidden="1" customWidth="1"/>
    <col min="257" max="258" width="14.28515625" style="222" customWidth="1"/>
    <col min="259" max="259" width="15.85546875" style="222" customWidth="1"/>
    <col min="260" max="262" width="0" style="222" hidden="1" customWidth="1"/>
    <col min="263" max="274" width="11.42578125" style="222"/>
    <col min="275" max="277" width="14.28515625" style="222" customWidth="1"/>
    <col min="278" max="278" width="15.28515625" style="222" customWidth="1"/>
    <col min="279" max="510" width="11.42578125" style="222"/>
    <col min="511" max="511" width="46.42578125" style="222" customWidth="1"/>
    <col min="512" max="512" width="0" style="222" hidden="1" customWidth="1"/>
    <col min="513" max="514" width="14.28515625" style="222" customWidth="1"/>
    <col min="515" max="515" width="15.85546875" style="222" customWidth="1"/>
    <col min="516" max="518" width="0" style="222" hidden="1" customWidth="1"/>
    <col min="519" max="530" width="11.42578125" style="222"/>
    <col min="531" max="533" width="14.28515625" style="222" customWidth="1"/>
    <col min="534" max="534" width="15.28515625" style="222" customWidth="1"/>
    <col min="535" max="766" width="11.42578125" style="222"/>
    <col min="767" max="767" width="46.42578125" style="222" customWidth="1"/>
    <col min="768" max="768" width="0" style="222" hidden="1" customWidth="1"/>
    <col min="769" max="770" width="14.28515625" style="222" customWidth="1"/>
    <col min="771" max="771" width="15.85546875" style="222" customWidth="1"/>
    <col min="772" max="774" width="0" style="222" hidden="1" customWidth="1"/>
    <col min="775" max="786" width="11.42578125" style="222"/>
    <col min="787" max="789" width="14.28515625" style="222" customWidth="1"/>
    <col min="790" max="790" width="15.28515625" style="222" customWidth="1"/>
    <col min="791" max="1022" width="11.42578125" style="222"/>
    <col min="1023" max="1023" width="46.42578125" style="222" customWidth="1"/>
    <col min="1024" max="1024" width="0" style="222" hidden="1" customWidth="1"/>
    <col min="1025" max="1026" width="14.28515625" style="222" customWidth="1"/>
    <col min="1027" max="1027" width="15.85546875" style="222" customWidth="1"/>
    <col min="1028" max="1030" width="0" style="222" hidden="1" customWidth="1"/>
    <col min="1031" max="1042" width="11.42578125" style="222"/>
    <col min="1043" max="1045" width="14.28515625" style="222" customWidth="1"/>
    <col min="1046" max="1046" width="15.28515625" style="222" customWidth="1"/>
    <col min="1047" max="1278" width="11.42578125" style="222"/>
    <col min="1279" max="1279" width="46.42578125" style="222" customWidth="1"/>
    <col min="1280" max="1280" width="0" style="222" hidden="1" customWidth="1"/>
    <col min="1281" max="1282" width="14.28515625" style="222" customWidth="1"/>
    <col min="1283" max="1283" width="15.85546875" style="222" customWidth="1"/>
    <col min="1284" max="1286" width="0" style="222" hidden="1" customWidth="1"/>
    <col min="1287" max="1298" width="11.42578125" style="222"/>
    <col min="1299" max="1301" width="14.28515625" style="222" customWidth="1"/>
    <col min="1302" max="1302" width="15.28515625" style="222" customWidth="1"/>
    <col min="1303" max="1534" width="11.42578125" style="222"/>
    <col min="1535" max="1535" width="46.42578125" style="222" customWidth="1"/>
    <col min="1536" max="1536" width="0" style="222" hidden="1" customWidth="1"/>
    <col min="1537" max="1538" width="14.28515625" style="222" customWidth="1"/>
    <col min="1539" max="1539" width="15.85546875" style="222" customWidth="1"/>
    <col min="1540" max="1542" width="0" style="222" hidden="1" customWidth="1"/>
    <col min="1543" max="1554" width="11.42578125" style="222"/>
    <col min="1555" max="1557" width="14.28515625" style="222" customWidth="1"/>
    <col min="1558" max="1558" width="15.28515625" style="222" customWidth="1"/>
    <col min="1559" max="1790" width="11.42578125" style="222"/>
    <col min="1791" max="1791" width="46.42578125" style="222" customWidth="1"/>
    <col min="1792" max="1792" width="0" style="222" hidden="1" customWidth="1"/>
    <col min="1793" max="1794" width="14.28515625" style="222" customWidth="1"/>
    <col min="1795" max="1795" width="15.85546875" style="222" customWidth="1"/>
    <col min="1796" max="1798" width="0" style="222" hidden="1" customWidth="1"/>
    <col min="1799" max="1810" width="11.42578125" style="222"/>
    <col min="1811" max="1813" width="14.28515625" style="222" customWidth="1"/>
    <col min="1814" max="1814" width="15.28515625" style="222" customWidth="1"/>
    <col min="1815" max="2046" width="11.42578125" style="222"/>
    <col min="2047" max="2047" width="46.42578125" style="222" customWidth="1"/>
    <col min="2048" max="2048" width="0" style="222" hidden="1" customWidth="1"/>
    <col min="2049" max="2050" width="14.28515625" style="222" customWidth="1"/>
    <col min="2051" max="2051" width="15.85546875" style="222" customWidth="1"/>
    <col min="2052" max="2054" width="0" style="222" hidden="1" customWidth="1"/>
    <col min="2055" max="2066" width="11.42578125" style="222"/>
    <col min="2067" max="2069" width="14.28515625" style="222" customWidth="1"/>
    <col min="2070" max="2070" width="15.28515625" style="222" customWidth="1"/>
    <col min="2071" max="2302" width="11.42578125" style="222"/>
    <col min="2303" max="2303" width="46.42578125" style="222" customWidth="1"/>
    <col min="2304" max="2304" width="0" style="222" hidden="1" customWidth="1"/>
    <col min="2305" max="2306" width="14.28515625" style="222" customWidth="1"/>
    <col min="2307" max="2307" width="15.85546875" style="222" customWidth="1"/>
    <col min="2308" max="2310" width="0" style="222" hidden="1" customWidth="1"/>
    <col min="2311" max="2322" width="11.42578125" style="222"/>
    <col min="2323" max="2325" width="14.28515625" style="222" customWidth="1"/>
    <col min="2326" max="2326" width="15.28515625" style="222" customWidth="1"/>
    <col min="2327" max="2558" width="11.42578125" style="222"/>
    <col min="2559" max="2559" width="46.42578125" style="222" customWidth="1"/>
    <col min="2560" max="2560" width="0" style="222" hidden="1" customWidth="1"/>
    <col min="2561" max="2562" width="14.28515625" style="222" customWidth="1"/>
    <col min="2563" max="2563" width="15.85546875" style="222" customWidth="1"/>
    <col min="2564" max="2566" width="0" style="222" hidden="1" customWidth="1"/>
    <col min="2567" max="2578" width="11.42578125" style="222"/>
    <col min="2579" max="2581" width="14.28515625" style="222" customWidth="1"/>
    <col min="2582" max="2582" width="15.28515625" style="222" customWidth="1"/>
    <col min="2583" max="2814" width="11.42578125" style="222"/>
    <col min="2815" max="2815" width="46.42578125" style="222" customWidth="1"/>
    <col min="2816" max="2816" width="0" style="222" hidden="1" customWidth="1"/>
    <col min="2817" max="2818" width="14.28515625" style="222" customWidth="1"/>
    <col min="2819" max="2819" width="15.85546875" style="222" customWidth="1"/>
    <col min="2820" max="2822" width="0" style="222" hidden="1" customWidth="1"/>
    <col min="2823" max="2834" width="11.42578125" style="222"/>
    <col min="2835" max="2837" width="14.28515625" style="222" customWidth="1"/>
    <col min="2838" max="2838" width="15.28515625" style="222" customWidth="1"/>
    <col min="2839" max="3070" width="11.42578125" style="222"/>
    <col min="3071" max="3071" width="46.42578125" style="222" customWidth="1"/>
    <col min="3072" max="3072" width="0" style="222" hidden="1" customWidth="1"/>
    <col min="3073" max="3074" width="14.28515625" style="222" customWidth="1"/>
    <col min="3075" max="3075" width="15.85546875" style="222" customWidth="1"/>
    <col min="3076" max="3078" width="0" style="222" hidden="1" customWidth="1"/>
    <col min="3079" max="3090" width="11.42578125" style="222"/>
    <col min="3091" max="3093" width="14.28515625" style="222" customWidth="1"/>
    <col min="3094" max="3094" width="15.28515625" style="222" customWidth="1"/>
    <col min="3095" max="3326" width="11.42578125" style="222"/>
    <col min="3327" max="3327" width="46.42578125" style="222" customWidth="1"/>
    <col min="3328" max="3328" width="0" style="222" hidden="1" customWidth="1"/>
    <col min="3329" max="3330" width="14.28515625" style="222" customWidth="1"/>
    <col min="3331" max="3331" width="15.85546875" style="222" customWidth="1"/>
    <col min="3332" max="3334" width="0" style="222" hidden="1" customWidth="1"/>
    <col min="3335" max="3346" width="11.42578125" style="222"/>
    <col min="3347" max="3349" width="14.28515625" style="222" customWidth="1"/>
    <col min="3350" max="3350" width="15.28515625" style="222" customWidth="1"/>
    <col min="3351" max="3582" width="11.42578125" style="222"/>
    <col min="3583" max="3583" width="46.42578125" style="222" customWidth="1"/>
    <col min="3584" max="3584" width="0" style="222" hidden="1" customWidth="1"/>
    <col min="3585" max="3586" width="14.28515625" style="222" customWidth="1"/>
    <col min="3587" max="3587" width="15.85546875" style="222" customWidth="1"/>
    <col min="3588" max="3590" width="0" style="222" hidden="1" customWidth="1"/>
    <col min="3591" max="3602" width="11.42578125" style="222"/>
    <col min="3603" max="3605" width="14.28515625" style="222" customWidth="1"/>
    <col min="3606" max="3606" width="15.28515625" style="222" customWidth="1"/>
    <col min="3607" max="3838" width="11.42578125" style="222"/>
    <col min="3839" max="3839" width="46.42578125" style="222" customWidth="1"/>
    <col min="3840" max="3840" width="0" style="222" hidden="1" customWidth="1"/>
    <col min="3841" max="3842" width="14.28515625" style="222" customWidth="1"/>
    <col min="3843" max="3843" width="15.85546875" style="222" customWidth="1"/>
    <col min="3844" max="3846" width="0" style="222" hidden="1" customWidth="1"/>
    <col min="3847" max="3858" width="11.42578125" style="222"/>
    <col min="3859" max="3861" width="14.28515625" style="222" customWidth="1"/>
    <col min="3862" max="3862" width="15.28515625" style="222" customWidth="1"/>
    <col min="3863" max="4094" width="11.42578125" style="222"/>
    <col min="4095" max="4095" width="46.42578125" style="222" customWidth="1"/>
    <col min="4096" max="4096" width="0" style="222" hidden="1" customWidth="1"/>
    <col min="4097" max="4098" width="14.28515625" style="222" customWidth="1"/>
    <col min="4099" max="4099" width="15.85546875" style="222" customWidth="1"/>
    <col min="4100" max="4102" width="0" style="222" hidden="1" customWidth="1"/>
    <col min="4103" max="4114" width="11.42578125" style="222"/>
    <col min="4115" max="4117" width="14.28515625" style="222" customWidth="1"/>
    <col min="4118" max="4118" width="15.28515625" style="222" customWidth="1"/>
    <col min="4119" max="4350" width="11.42578125" style="222"/>
    <col min="4351" max="4351" width="46.42578125" style="222" customWidth="1"/>
    <col min="4352" max="4352" width="0" style="222" hidden="1" customWidth="1"/>
    <col min="4353" max="4354" width="14.28515625" style="222" customWidth="1"/>
    <col min="4355" max="4355" width="15.85546875" style="222" customWidth="1"/>
    <col min="4356" max="4358" width="0" style="222" hidden="1" customWidth="1"/>
    <col min="4359" max="4370" width="11.42578125" style="222"/>
    <col min="4371" max="4373" width="14.28515625" style="222" customWidth="1"/>
    <col min="4374" max="4374" width="15.28515625" style="222" customWidth="1"/>
    <col min="4375" max="4606" width="11.42578125" style="222"/>
    <col min="4607" max="4607" width="46.42578125" style="222" customWidth="1"/>
    <col min="4608" max="4608" width="0" style="222" hidden="1" customWidth="1"/>
    <col min="4609" max="4610" width="14.28515625" style="222" customWidth="1"/>
    <col min="4611" max="4611" width="15.85546875" style="222" customWidth="1"/>
    <col min="4612" max="4614" width="0" style="222" hidden="1" customWidth="1"/>
    <col min="4615" max="4626" width="11.42578125" style="222"/>
    <col min="4627" max="4629" width="14.28515625" style="222" customWidth="1"/>
    <col min="4630" max="4630" width="15.28515625" style="222" customWidth="1"/>
    <col min="4631" max="4862" width="11.42578125" style="222"/>
    <col min="4863" max="4863" width="46.42578125" style="222" customWidth="1"/>
    <col min="4864" max="4864" width="0" style="222" hidden="1" customWidth="1"/>
    <col min="4865" max="4866" width="14.28515625" style="222" customWidth="1"/>
    <col min="4867" max="4867" width="15.85546875" style="222" customWidth="1"/>
    <col min="4868" max="4870" width="0" style="222" hidden="1" customWidth="1"/>
    <col min="4871" max="4882" width="11.42578125" style="222"/>
    <col min="4883" max="4885" width="14.28515625" style="222" customWidth="1"/>
    <col min="4886" max="4886" width="15.28515625" style="222" customWidth="1"/>
    <col min="4887" max="5118" width="11.42578125" style="222"/>
    <col min="5119" max="5119" width="46.42578125" style="222" customWidth="1"/>
    <col min="5120" max="5120" width="0" style="222" hidden="1" customWidth="1"/>
    <col min="5121" max="5122" width="14.28515625" style="222" customWidth="1"/>
    <col min="5123" max="5123" width="15.85546875" style="222" customWidth="1"/>
    <col min="5124" max="5126" width="0" style="222" hidden="1" customWidth="1"/>
    <col min="5127" max="5138" width="11.42578125" style="222"/>
    <col min="5139" max="5141" width="14.28515625" style="222" customWidth="1"/>
    <col min="5142" max="5142" width="15.28515625" style="222" customWidth="1"/>
    <col min="5143" max="5374" width="11.42578125" style="222"/>
    <col min="5375" max="5375" width="46.42578125" style="222" customWidth="1"/>
    <col min="5376" max="5376" width="0" style="222" hidden="1" customWidth="1"/>
    <col min="5377" max="5378" width="14.28515625" style="222" customWidth="1"/>
    <col min="5379" max="5379" width="15.85546875" style="222" customWidth="1"/>
    <col min="5380" max="5382" width="0" style="222" hidden="1" customWidth="1"/>
    <col min="5383" max="5394" width="11.42578125" style="222"/>
    <col min="5395" max="5397" width="14.28515625" style="222" customWidth="1"/>
    <col min="5398" max="5398" width="15.28515625" style="222" customWidth="1"/>
    <col min="5399" max="5630" width="11.42578125" style="222"/>
    <col min="5631" max="5631" width="46.42578125" style="222" customWidth="1"/>
    <col min="5632" max="5632" width="0" style="222" hidden="1" customWidth="1"/>
    <col min="5633" max="5634" width="14.28515625" style="222" customWidth="1"/>
    <col min="5635" max="5635" width="15.85546875" style="222" customWidth="1"/>
    <col min="5636" max="5638" width="0" style="222" hidden="1" customWidth="1"/>
    <col min="5639" max="5650" width="11.42578125" style="222"/>
    <col min="5651" max="5653" width="14.28515625" style="222" customWidth="1"/>
    <col min="5654" max="5654" width="15.28515625" style="222" customWidth="1"/>
    <col min="5655" max="5886" width="11.42578125" style="222"/>
    <col min="5887" max="5887" width="46.42578125" style="222" customWidth="1"/>
    <col min="5888" max="5888" width="0" style="222" hidden="1" customWidth="1"/>
    <col min="5889" max="5890" width="14.28515625" style="222" customWidth="1"/>
    <col min="5891" max="5891" width="15.85546875" style="222" customWidth="1"/>
    <col min="5892" max="5894" width="0" style="222" hidden="1" customWidth="1"/>
    <col min="5895" max="5906" width="11.42578125" style="222"/>
    <col min="5907" max="5909" width="14.28515625" style="222" customWidth="1"/>
    <col min="5910" max="5910" width="15.28515625" style="222" customWidth="1"/>
    <col min="5911" max="6142" width="11.42578125" style="222"/>
    <col min="6143" max="6143" width="46.42578125" style="222" customWidth="1"/>
    <col min="6144" max="6144" width="0" style="222" hidden="1" customWidth="1"/>
    <col min="6145" max="6146" width="14.28515625" style="222" customWidth="1"/>
    <col min="6147" max="6147" width="15.85546875" style="222" customWidth="1"/>
    <col min="6148" max="6150" width="0" style="222" hidden="1" customWidth="1"/>
    <col min="6151" max="6162" width="11.42578125" style="222"/>
    <col min="6163" max="6165" width="14.28515625" style="222" customWidth="1"/>
    <col min="6166" max="6166" width="15.28515625" style="222" customWidth="1"/>
    <col min="6167" max="6398" width="11.42578125" style="222"/>
    <col min="6399" max="6399" width="46.42578125" style="222" customWidth="1"/>
    <col min="6400" max="6400" width="0" style="222" hidden="1" customWidth="1"/>
    <col min="6401" max="6402" width="14.28515625" style="222" customWidth="1"/>
    <col min="6403" max="6403" width="15.85546875" style="222" customWidth="1"/>
    <col min="6404" max="6406" width="0" style="222" hidden="1" customWidth="1"/>
    <col min="6407" max="6418" width="11.42578125" style="222"/>
    <col min="6419" max="6421" width="14.28515625" style="222" customWidth="1"/>
    <col min="6422" max="6422" width="15.28515625" style="222" customWidth="1"/>
    <col min="6423" max="6654" width="11.42578125" style="222"/>
    <col min="6655" max="6655" width="46.42578125" style="222" customWidth="1"/>
    <col min="6656" max="6656" width="0" style="222" hidden="1" customWidth="1"/>
    <col min="6657" max="6658" width="14.28515625" style="222" customWidth="1"/>
    <col min="6659" max="6659" width="15.85546875" style="222" customWidth="1"/>
    <col min="6660" max="6662" width="0" style="222" hidden="1" customWidth="1"/>
    <col min="6663" max="6674" width="11.42578125" style="222"/>
    <col min="6675" max="6677" width="14.28515625" style="222" customWidth="1"/>
    <col min="6678" max="6678" width="15.28515625" style="222" customWidth="1"/>
    <col min="6679" max="6910" width="11.42578125" style="222"/>
    <col min="6911" max="6911" width="46.42578125" style="222" customWidth="1"/>
    <col min="6912" max="6912" width="0" style="222" hidden="1" customWidth="1"/>
    <col min="6913" max="6914" width="14.28515625" style="222" customWidth="1"/>
    <col min="6915" max="6915" width="15.85546875" style="222" customWidth="1"/>
    <col min="6916" max="6918" width="0" style="222" hidden="1" customWidth="1"/>
    <col min="6919" max="6930" width="11.42578125" style="222"/>
    <col min="6931" max="6933" width="14.28515625" style="222" customWidth="1"/>
    <col min="6934" max="6934" width="15.28515625" style="222" customWidth="1"/>
    <col min="6935" max="7166" width="11.42578125" style="222"/>
    <col min="7167" max="7167" width="46.42578125" style="222" customWidth="1"/>
    <col min="7168" max="7168" width="0" style="222" hidden="1" customWidth="1"/>
    <col min="7169" max="7170" width="14.28515625" style="222" customWidth="1"/>
    <col min="7171" max="7171" width="15.85546875" style="222" customWidth="1"/>
    <col min="7172" max="7174" width="0" style="222" hidden="1" customWidth="1"/>
    <col min="7175" max="7186" width="11.42578125" style="222"/>
    <col min="7187" max="7189" width="14.28515625" style="222" customWidth="1"/>
    <col min="7190" max="7190" width="15.28515625" style="222" customWidth="1"/>
    <col min="7191" max="7422" width="11.42578125" style="222"/>
    <col min="7423" max="7423" width="46.42578125" style="222" customWidth="1"/>
    <col min="7424" max="7424" width="0" style="222" hidden="1" customWidth="1"/>
    <col min="7425" max="7426" width="14.28515625" style="222" customWidth="1"/>
    <col min="7427" max="7427" width="15.85546875" style="222" customWidth="1"/>
    <col min="7428" max="7430" width="0" style="222" hidden="1" customWidth="1"/>
    <col min="7431" max="7442" width="11.42578125" style="222"/>
    <col min="7443" max="7445" width="14.28515625" style="222" customWidth="1"/>
    <col min="7446" max="7446" width="15.28515625" style="222" customWidth="1"/>
    <col min="7447" max="7678" width="11.42578125" style="222"/>
    <col min="7679" max="7679" width="46.42578125" style="222" customWidth="1"/>
    <col min="7680" max="7680" width="0" style="222" hidden="1" customWidth="1"/>
    <col min="7681" max="7682" width="14.28515625" style="222" customWidth="1"/>
    <col min="7683" max="7683" width="15.85546875" style="222" customWidth="1"/>
    <col min="7684" max="7686" width="0" style="222" hidden="1" customWidth="1"/>
    <col min="7687" max="7698" width="11.42578125" style="222"/>
    <col min="7699" max="7701" width="14.28515625" style="222" customWidth="1"/>
    <col min="7702" max="7702" width="15.28515625" style="222" customWidth="1"/>
    <col min="7703" max="7934" width="11.42578125" style="222"/>
    <col min="7935" max="7935" width="46.42578125" style="222" customWidth="1"/>
    <col min="7936" max="7936" width="0" style="222" hidden="1" customWidth="1"/>
    <col min="7937" max="7938" width="14.28515625" style="222" customWidth="1"/>
    <col min="7939" max="7939" width="15.85546875" style="222" customWidth="1"/>
    <col min="7940" max="7942" width="0" style="222" hidden="1" customWidth="1"/>
    <col min="7943" max="7954" width="11.42578125" style="222"/>
    <col min="7955" max="7957" width="14.28515625" style="222" customWidth="1"/>
    <col min="7958" max="7958" width="15.28515625" style="222" customWidth="1"/>
    <col min="7959" max="8190" width="11.42578125" style="222"/>
    <col min="8191" max="8191" width="46.42578125" style="222" customWidth="1"/>
    <col min="8192" max="8192" width="0" style="222" hidden="1" customWidth="1"/>
    <col min="8193" max="8194" width="14.28515625" style="222" customWidth="1"/>
    <col min="8195" max="8195" width="15.85546875" style="222" customWidth="1"/>
    <col min="8196" max="8198" width="0" style="222" hidden="1" customWidth="1"/>
    <col min="8199" max="8210" width="11.42578125" style="222"/>
    <col min="8211" max="8213" width="14.28515625" style="222" customWidth="1"/>
    <col min="8214" max="8214" width="15.28515625" style="222" customWidth="1"/>
    <col min="8215" max="8446" width="11.42578125" style="222"/>
    <col min="8447" max="8447" width="46.42578125" style="222" customWidth="1"/>
    <col min="8448" max="8448" width="0" style="222" hidden="1" customWidth="1"/>
    <col min="8449" max="8450" width="14.28515625" style="222" customWidth="1"/>
    <col min="8451" max="8451" width="15.85546875" style="222" customWidth="1"/>
    <col min="8452" max="8454" width="0" style="222" hidden="1" customWidth="1"/>
    <col min="8455" max="8466" width="11.42578125" style="222"/>
    <col min="8467" max="8469" width="14.28515625" style="222" customWidth="1"/>
    <col min="8470" max="8470" width="15.28515625" style="222" customWidth="1"/>
    <col min="8471" max="8702" width="11.42578125" style="222"/>
    <col min="8703" max="8703" width="46.42578125" style="222" customWidth="1"/>
    <col min="8704" max="8704" width="0" style="222" hidden="1" customWidth="1"/>
    <col min="8705" max="8706" width="14.28515625" style="222" customWidth="1"/>
    <col min="8707" max="8707" width="15.85546875" style="222" customWidth="1"/>
    <col min="8708" max="8710" width="0" style="222" hidden="1" customWidth="1"/>
    <col min="8711" max="8722" width="11.42578125" style="222"/>
    <col min="8723" max="8725" width="14.28515625" style="222" customWidth="1"/>
    <col min="8726" max="8726" width="15.28515625" style="222" customWidth="1"/>
    <col min="8727" max="8958" width="11.42578125" style="222"/>
    <col min="8959" max="8959" width="46.42578125" style="222" customWidth="1"/>
    <col min="8960" max="8960" width="0" style="222" hidden="1" customWidth="1"/>
    <col min="8961" max="8962" width="14.28515625" style="222" customWidth="1"/>
    <col min="8963" max="8963" width="15.85546875" style="222" customWidth="1"/>
    <col min="8964" max="8966" width="0" style="222" hidden="1" customWidth="1"/>
    <col min="8967" max="8978" width="11.42578125" style="222"/>
    <col min="8979" max="8981" width="14.28515625" style="222" customWidth="1"/>
    <col min="8982" max="8982" width="15.28515625" style="222" customWidth="1"/>
    <col min="8983" max="9214" width="11.42578125" style="222"/>
    <col min="9215" max="9215" width="46.42578125" style="222" customWidth="1"/>
    <col min="9216" max="9216" width="0" style="222" hidden="1" customWidth="1"/>
    <col min="9217" max="9218" width="14.28515625" style="222" customWidth="1"/>
    <col min="9219" max="9219" width="15.85546875" style="222" customWidth="1"/>
    <col min="9220" max="9222" width="0" style="222" hidden="1" customWidth="1"/>
    <col min="9223" max="9234" width="11.42578125" style="222"/>
    <col min="9235" max="9237" width="14.28515625" style="222" customWidth="1"/>
    <col min="9238" max="9238" width="15.28515625" style="222" customWidth="1"/>
    <col min="9239" max="9470" width="11.42578125" style="222"/>
    <col min="9471" max="9471" width="46.42578125" style="222" customWidth="1"/>
    <col min="9472" max="9472" width="0" style="222" hidden="1" customWidth="1"/>
    <col min="9473" max="9474" width="14.28515625" style="222" customWidth="1"/>
    <col min="9475" max="9475" width="15.85546875" style="222" customWidth="1"/>
    <col min="9476" max="9478" width="0" style="222" hidden="1" customWidth="1"/>
    <col min="9479" max="9490" width="11.42578125" style="222"/>
    <col min="9491" max="9493" width="14.28515625" style="222" customWidth="1"/>
    <col min="9494" max="9494" width="15.28515625" style="222" customWidth="1"/>
    <col min="9495" max="9726" width="11.42578125" style="222"/>
    <col min="9727" max="9727" width="46.42578125" style="222" customWidth="1"/>
    <col min="9728" max="9728" width="0" style="222" hidden="1" customWidth="1"/>
    <col min="9729" max="9730" width="14.28515625" style="222" customWidth="1"/>
    <col min="9731" max="9731" width="15.85546875" style="222" customWidth="1"/>
    <col min="9732" max="9734" width="0" style="222" hidden="1" customWidth="1"/>
    <col min="9735" max="9746" width="11.42578125" style="222"/>
    <col min="9747" max="9749" width="14.28515625" style="222" customWidth="1"/>
    <col min="9750" max="9750" width="15.28515625" style="222" customWidth="1"/>
    <col min="9751" max="9982" width="11.42578125" style="222"/>
    <col min="9983" max="9983" width="46.42578125" style="222" customWidth="1"/>
    <col min="9984" max="9984" width="0" style="222" hidden="1" customWidth="1"/>
    <col min="9985" max="9986" width="14.28515625" style="222" customWidth="1"/>
    <col min="9987" max="9987" width="15.85546875" style="222" customWidth="1"/>
    <col min="9988" max="9990" width="0" style="222" hidden="1" customWidth="1"/>
    <col min="9991" max="10002" width="11.42578125" style="222"/>
    <col min="10003" max="10005" width="14.28515625" style="222" customWidth="1"/>
    <col min="10006" max="10006" width="15.28515625" style="222" customWidth="1"/>
    <col min="10007" max="10238" width="11.42578125" style="222"/>
    <col min="10239" max="10239" width="46.42578125" style="222" customWidth="1"/>
    <col min="10240" max="10240" width="0" style="222" hidden="1" customWidth="1"/>
    <col min="10241" max="10242" width="14.28515625" style="222" customWidth="1"/>
    <col min="10243" max="10243" width="15.85546875" style="222" customWidth="1"/>
    <col min="10244" max="10246" width="0" style="222" hidden="1" customWidth="1"/>
    <col min="10247" max="10258" width="11.42578125" style="222"/>
    <col min="10259" max="10261" width="14.28515625" style="222" customWidth="1"/>
    <col min="10262" max="10262" width="15.28515625" style="222" customWidth="1"/>
    <col min="10263" max="10494" width="11.42578125" style="222"/>
    <col min="10495" max="10495" width="46.42578125" style="222" customWidth="1"/>
    <col min="10496" max="10496" width="0" style="222" hidden="1" customWidth="1"/>
    <col min="10497" max="10498" width="14.28515625" style="222" customWidth="1"/>
    <col min="10499" max="10499" width="15.85546875" style="222" customWidth="1"/>
    <col min="10500" max="10502" width="0" style="222" hidden="1" customWidth="1"/>
    <col min="10503" max="10514" width="11.42578125" style="222"/>
    <col min="10515" max="10517" width="14.28515625" style="222" customWidth="1"/>
    <col min="10518" max="10518" width="15.28515625" style="222" customWidth="1"/>
    <col min="10519" max="10750" width="11.42578125" style="222"/>
    <col min="10751" max="10751" width="46.42578125" style="222" customWidth="1"/>
    <col min="10752" max="10752" width="0" style="222" hidden="1" customWidth="1"/>
    <col min="10753" max="10754" width="14.28515625" style="222" customWidth="1"/>
    <col min="10755" max="10755" width="15.85546875" style="222" customWidth="1"/>
    <col min="10756" max="10758" width="0" style="222" hidden="1" customWidth="1"/>
    <col min="10759" max="10770" width="11.42578125" style="222"/>
    <col min="10771" max="10773" width="14.28515625" style="222" customWidth="1"/>
    <col min="10774" max="10774" width="15.28515625" style="222" customWidth="1"/>
    <col min="10775" max="11006" width="11.42578125" style="222"/>
    <col min="11007" max="11007" width="46.42578125" style="222" customWidth="1"/>
    <col min="11008" max="11008" width="0" style="222" hidden="1" customWidth="1"/>
    <col min="11009" max="11010" width="14.28515625" style="222" customWidth="1"/>
    <col min="11011" max="11011" width="15.85546875" style="222" customWidth="1"/>
    <col min="11012" max="11014" width="0" style="222" hidden="1" customWidth="1"/>
    <col min="11015" max="11026" width="11.42578125" style="222"/>
    <col min="11027" max="11029" width="14.28515625" style="222" customWidth="1"/>
    <col min="11030" max="11030" width="15.28515625" style="222" customWidth="1"/>
    <col min="11031" max="11262" width="11.42578125" style="222"/>
    <col min="11263" max="11263" width="46.42578125" style="222" customWidth="1"/>
    <col min="11264" max="11264" width="0" style="222" hidden="1" customWidth="1"/>
    <col min="11265" max="11266" width="14.28515625" style="222" customWidth="1"/>
    <col min="11267" max="11267" width="15.85546875" style="222" customWidth="1"/>
    <col min="11268" max="11270" width="0" style="222" hidden="1" customWidth="1"/>
    <col min="11271" max="11282" width="11.42578125" style="222"/>
    <col min="11283" max="11285" width="14.28515625" style="222" customWidth="1"/>
    <col min="11286" max="11286" width="15.28515625" style="222" customWidth="1"/>
    <col min="11287" max="11518" width="11.42578125" style="222"/>
    <col min="11519" max="11519" width="46.42578125" style="222" customWidth="1"/>
    <col min="11520" max="11520" width="0" style="222" hidden="1" customWidth="1"/>
    <col min="11521" max="11522" width="14.28515625" style="222" customWidth="1"/>
    <col min="11523" max="11523" width="15.85546875" style="222" customWidth="1"/>
    <col min="11524" max="11526" width="0" style="222" hidden="1" customWidth="1"/>
    <col min="11527" max="11538" width="11.42578125" style="222"/>
    <col min="11539" max="11541" width="14.28515625" style="222" customWidth="1"/>
    <col min="11542" max="11542" width="15.28515625" style="222" customWidth="1"/>
    <col min="11543" max="11774" width="11.42578125" style="222"/>
    <col min="11775" max="11775" width="46.42578125" style="222" customWidth="1"/>
    <col min="11776" max="11776" width="0" style="222" hidden="1" customWidth="1"/>
    <col min="11777" max="11778" width="14.28515625" style="222" customWidth="1"/>
    <col min="11779" max="11779" width="15.85546875" style="222" customWidth="1"/>
    <col min="11780" max="11782" width="0" style="222" hidden="1" customWidth="1"/>
    <col min="11783" max="11794" width="11.42578125" style="222"/>
    <col min="11795" max="11797" width="14.28515625" style="222" customWidth="1"/>
    <col min="11798" max="11798" width="15.28515625" style="222" customWidth="1"/>
    <col min="11799" max="12030" width="11.42578125" style="222"/>
    <col min="12031" max="12031" width="46.42578125" style="222" customWidth="1"/>
    <col min="12032" max="12032" width="0" style="222" hidden="1" customWidth="1"/>
    <col min="12033" max="12034" width="14.28515625" style="222" customWidth="1"/>
    <col min="12035" max="12035" width="15.85546875" style="222" customWidth="1"/>
    <col min="12036" max="12038" width="0" style="222" hidden="1" customWidth="1"/>
    <col min="12039" max="12050" width="11.42578125" style="222"/>
    <col min="12051" max="12053" width="14.28515625" style="222" customWidth="1"/>
    <col min="12054" max="12054" width="15.28515625" style="222" customWidth="1"/>
    <col min="12055" max="12286" width="11.42578125" style="222"/>
    <col min="12287" max="12287" width="46.42578125" style="222" customWidth="1"/>
    <col min="12288" max="12288" width="0" style="222" hidden="1" customWidth="1"/>
    <col min="12289" max="12290" width="14.28515625" style="222" customWidth="1"/>
    <col min="12291" max="12291" width="15.85546875" style="222" customWidth="1"/>
    <col min="12292" max="12294" width="0" style="222" hidden="1" customWidth="1"/>
    <col min="12295" max="12306" width="11.42578125" style="222"/>
    <col min="12307" max="12309" width="14.28515625" style="222" customWidth="1"/>
    <col min="12310" max="12310" width="15.28515625" style="222" customWidth="1"/>
    <col min="12311" max="12542" width="11.42578125" style="222"/>
    <col min="12543" max="12543" width="46.42578125" style="222" customWidth="1"/>
    <col min="12544" max="12544" width="0" style="222" hidden="1" customWidth="1"/>
    <col min="12545" max="12546" width="14.28515625" style="222" customWidth="1"/>
    <col min="12547" max="12547" width="15.85546875" style="222" customWidth="1"/>
    <col min="12548" max="12550" width="0" style="222" hidden="1" customWidth="1"/>
    <col min="12551" max="12562" width="11.42578125" style="222"/>
    <col min="12563" max="12565" width="14.28515625" style="222" customWidth="1"/>
    <col min="12566" max="12566" width="15.28515625" style="222" customWidth="1"/>
    <col min="12567" max="12798" width="11.42578125" style="222"/>
    <col min="12799" max="12799" width="46.42578125" style="222" customWidth="1"/>
    <col min="12800" max="12800" width="0" style="222" hidden="1" customWidth="1"/>
    <col min="12801" max="12802" width="14.28515625" style="222" customWidth="1"/>
    <col min="12803" max="12803" width="15.85546875" style="222" customWidth="1"/>
    <col min="12804" max="12806" width="0" style="222" hidden="1" customWidth="1"/>
    <col min="12807" max="12818" width="11.42578125" style="222"/>
    <col min="12819" max="12821" width="14.28515625" style="222" customWidth="1"/>
    <col min="12822" max="12822" width="15.28515625" style="222" customWidth="1"/>
    <col min="12823" max="13054" width="11.42578125" style="222"/>
    <col min="13055" max="13055" width="46.42578125" style="222" customWidth="1"/>
    <col min="13056" max="13056" width="0" style="222" hidden="1" customWidth="1"/>
    <col min="13057" max="13058" width="14.28515625" style="222" customWidth="1"/>
    <col min="13059" max="13059" width="15.85546875" style="222" customWidth="1"/>
    <col min="13060" max="13062" width="0" style="222" hidden="1" customWidth="1"/>
    <col min="13063" max="13074" width="11.42578125" style="222"/>
    <col min="13075" max="13077" width="14.28515625" style="222" customWidth="1"/>
    <col min="13078" max="13078" width="15.28515625" style="222" customWidth="1"/>
    <col min="13079" max="13310" width="11.42578125" style="222"/>
    <col min="13311" max="13311" width="46.42578125" style="222" customWidth="1"/>
    <col min="13312" max="13312" width="0" style="222" hidden="1" customWidth="1"/>
    <col min="13313" max="13314" width="14.28515625" style="222" customWidth="1"/>
    <col min="13315" max="13315" width="15.85546875" style="222" customWidth="1"/>
    <col min="13316" max="13318" width="0" style="222" hidden="1" customWidth="1"/>
    <col min="13319" max="13330" width="11.42578125" style="222"/>
    <col min="13331" max="13333" width="14.28515625" style="222" customWidth="1"/>
    <col min="13334" max="13334" width="15.28515625" style="222" customWidth="1"/>
    <col min="13335" max="13566" width="11.42578125" style="222"/>
    <col min="13567" max="13567" width="46.42578125" style="222" customWidth="1"/>
    <col min="13568" max="13568" width="0" style="222" hidden="1" customWidth="1"/>
    <col min="13569" max="13570" width="14.28515625" style="222" customWidth="1"/>
    <col min="13571" max="13571" width="15.85546875" style="222" customWidth="1"/>
    <col min="13572" max="13574" width="0" style="222" hidden="1" customWidth="1"/>
    <col min="13575" max="13586" width="11.42578125" style="222"/>
    <col min="13587" max="13589" width="14.28515625" style="222" customWidth="1"/>
    <col min="13590" max="13590" width="15.28515625" style="222" customWidth="1"/>
    <col min="13591" max="13822" width="11.42578125" style="222"/>
    <col min="13823" max="13823" width="46.42578125" style="222" customWidth="1"/>
    <col min="13824" max="13824" width="0" style="222" hidden="1" customWidth="1"/>
    <col min="13825" max="13826" width="14.28515625" style="222" customWidth="1"/>
    <col min="13827" max="13827" width="15.85546875" style="222" customWidth="1"/>
    <col min="13828" max="13830" width="0" style="222" hidden="1" customWidth="1"/>
    <col min="13831" max="13842" width="11.42578125" style="222"/>
    <col min="13843" max="13845" width="14.28515625" style="222" customWidth="1"/>
    <col min="13846" max="13846" width="15.28515625" style="222" customWidth="1"/>
    <col min="13847" max="14078" width="11.42578125" style="222"/>
    <col min="14079" max="14079" width="46.42578125" style="222" customWidth="1"/>
    <col min="14080" max="14080" width="0" style="222" hidden="1" customWidth="1"/>
    <col min="14081" max="14082" width="14.28515625" style="222" customWidth="1"/>
    <col min="14083" max="14083" width="15.85546875" style="222" customWidth="1"/>
    <col min="14084" max="14086" width="0" style="222" hidden="1" customWidth="1"/>
    <col min="14087" max="14098" width="11.42578125" style="222"/>
    <col min="14099" max="14101" width="14.28515625" style="222" customWidth="1"/>
    <col min="14102" max="14102" width="15.28515625" style="222" customWidth="1"/>
    <col min="14103" max="14334" width="11.42578125" style="222"/>
    <col min="14335" max="14335" width="46.42578125" style="222" customWidth="1"/>
    <col min="14336" max="14336" width="0" style="222" hidden="1" customWidth="1"/>
    <col min="14337" max="14338" width="14.28515625" style="222" customWidth="1"/>
    <col min="14339" max="14339" width="15.85546875" style="222" customWidth="1"/>
    <col min="14340" max="14342" width="0" style="222" hidden="1" customWidth="1"/>
    <col min="14343" max="14354" width="11.42578125" style="222"/>
    <col min="14355" max="14357" width="14.28515625" style="222" customWidth="1"/>
    <col min="14358" max="14358" width="15.28515625" style="222" customWidth="1"/>
    <col min="14359" max="14590" width="11.42578125" style="222"/>
    <col min="14591" max="14591" width="46.42578125" style="222" customWidth="1"/>
    <col min="14592" max="14592" width="0" style="222" hidden="1" customWidth="1"/>
    <col min="14593" max="14594" width="14.28515625" style="222" customWidth="1"/>
    <col min="14595" max="14595" width="15.85546875" style="222" customWidth="1"/>
    <col min="14596" max="14598" width="0" style="222" hidden="1" customWidth="1"/>
    <col min="14599" max="14610" width="11.42578125" style="222"/>
    <col min="14611" max="14613" width="14.28515625" style="222" customWidth="1"/>
    <col min="14614" max="14614" width="15.28515625" style="222" customWidth="1"/>
    <col min="14615" max="14846" width="11.42578125" style="222"/>
    <col min="14847" max="14847" width="46.42578125" style="222" customWidth="1"/>
    <col min="14848" max="14848" width="0" style="222" hidden="1" customWidth="1"/>
    <col min="14849" max="14850" width="14.28515625" style="222" customWidth="1"/>
    <col min="14851" max="14851" width="15.85546875" style="222" customWidth="1"/>
    <col min="14852" max="14854" width="0" style="222" hidden="1" customWidth="1"/>
    <col min="14855" max="14866" width="11.42578125" style="222"/>
    <col min="14867" max="14869" width="14.28515625" style="222" customWidth="1"/>
    <col min="14870" max="14870" width="15.28515625" style="222" customWidth="1"/>
    <col min="14871" max="15102" width="11.42578125" style="222"/>
    <col min="15103" max="15103" width="46.42578125" style="222" customWidth="1"/>
    <col min="15104" max="15104" width="0" style="222" hidden="1" customWidth="1"/>
    <col min="15105" max="15106" width="14.28515625" style="222" customWidth="1"/>
    <col min="15107" max="15107" width="15.85546875" style="222" customWidth="1"/>
    <col min="15108" max="15110" width="0" style="222" hidden="1" customWidth="1"/>
    <col min="15111" max="15122" width="11.42578125" style="222"/>
    <col min="15123" max="15125" width="14.28515625" style="222" customWidth="1"/>
    <col min="15126" max="15126" width="15.28515625" style="222" customWidth="1"/>
    <col min="15127" max="15358" width="11.42578125" style="222"/>
    <col min="15359" max="15359" width="46.42578125" style="222" customWidth="1"/>
    <col min="15360" max="15360" width="0" style="222" hidden="1" customWidth="1"/>
    <col min="15361" max="15362" width="14.28515625" style="222" customWidth="1"/>
    <col min="15363" max="15363" width="15.85546875" style="222" customWidth="1"/>
    <col min="15364" max="15366" width="0" style="222" hidden="1" customWidth="1"/>
    <col min="15367" max="15378" width="11.42578125" style="222"/>
    <col min="15379" max="15381" width="14.28515625" style="222" customWidth="1"/>
    <col min="15382" max="15382" width="15.28515625" style="222" customWidth="1"/>
    <col min="15383" max="15614" width="11.42578125" style="222"/>
    <col min="15615" max="15615" width="46.42578125" style="222" customWidth="1"/>
    <col min="15616" max="15616" width="0" style="222" hidden="1" customWidth="1"/>
    <col min="15617" max="15618" width="14.28515625" style="222" customWidth="1"/>
    <col min="15619" max="15619" width="15.85546875" style="222" customWidth="1"/>
    <col min="15620" max="15622" width="0" style="222" hidden="1" customWidth="1"/>
    <col min="15623" max="15634" width="11.42578125" style="222"/>
    <col min="15635" max="15637" width="14.28515625" style="222" customWidth="1"/>
    <col min="15638" max="15638" width="15.28515625" style="222" customWidth="1"/>
    <col min="15639" max="15870" width="11.42578125" style="222"/>
    <col min="15871" max="15871" width="46.42578125" style="222" customWidth="1"/>
    <col min="15872" max="15872" width="0" style="222" hidden="1" customWidth="1"/>
    <col min="15873" max="15874" width="14.28515625" style="222" customWidth="1"/>
    <col min="15875" max="15875" width="15.85546875" style="222" customWidth="1"/>
    <col min="15876" max="15878" width="0" style="222" hidden="1" customWidth="1"/>
    <col min="15879" max="15890" width="11.42578125" style="222"/>
    <col min="15891" max="15893" width="14.28515625" style="222" customWidth="1"/>
    <col min="15894" max="15894" width="15.28515625" style="222" customWidth="1"/>
    <col min="15895" max="16126" width="11.42578125" style="222"/>
    <col min="16127" max="16127" width="46.42578125" style="222" customWidth="1"/>
    <col min="16128" max="16128" width="0" style="222" hidden="1" customWidth="1"/>
    <col min="16129" max="16130" width="14.28515625" style="222" customWidth="1"/>
    <col min="16131" max="16131" width="15.85546875" style="222" customWidth="1"/>
    <col min="16132" max="16134" width="0" style="222" hidden="1" customWidth="1"/>
    <col min="16135" max="16146" width="11.42578125" style="222"/>
    <col min="16147" max="16149" width="14.28515625" style="222" customWidth="1"/>
    <col min="16150" max="16150" width="15.28515625" style="222" customWidth="1"/>
    <col min="16151" max="16384" width="11.42578125" style="222"/>
  </cols>
  <sheetData>
    <row r="2" spans="1:10" ht="36" customHeight="1" x14ac:dyDescent="0.2">
      <c r="A2" s="2697" t="s">
        <v>1240</v>
      </c>
      <c r="B2" s="2698"/>
      <c r="C2" s="2698"/>
      <c r="D2" s="2698"/>
      <c r="E2" s="2698"/>
      <c r="F2" s="2698"/>
      <c r="G2" s="2698"/>
      <c r="H2" s="2698"/>
      <c r="I2" s="2699"/>
    </row>
    <row r="3" spans="1:10" ht="36.75" thickBot="1" x14ac:dyDescent="0.25">
      <c r="A3" s="438" t="s">
        <v>79</v>
      </c>
      <c r="B3" s="438">
        <v>2011</v>
      </c>
      <c r="C3" s="438" t="s">
        <v>117</v>
      </c>
      <c r="D3" s="438" t="s">
        <v>202</v>
      </c>
      <c r="E3" s="438" t="s">
        <v>254</v>
      </c>
      <c r="F3" s="221">
        <v>2013</v>
      </c>
      <c r="G3" s="221" t="s">
        <v>117</v>
      </c>
      <c r="H3" s="438" t="s">
        <v>202</v>
      </c>
      <c r="I3" s="438" t="s">
        <v>254</v>
      </c>
    </row>
    <row r="4" spans="1:10" ht="25.5" customHeight="1" thickBot="1" x14ac:dyDescent="0.25">
      <c r="A4" s="223" t="s">
        <v>104</v>
      </c>
      <c r="B4" s="224">
        <v>0</v>
      </c>
      <c r="C4" s="224">
        <v>0</v>
      </c>
      <c r="D4" s="225">
        <v>0</v>
      </c>
      <c r="E4" s="224">
        <v>0</v>
      </c>
      <c r="F4" s="224">
        <v>0</v>
      </c>
      <c r="G4" s="655">
        <v>0</v>
      </c>
      <c r="H4" s="656">
        <v>0</v>
      </c>
      <c r="I4" s="224">
        <v>0</v>
      </c>
    </row>
    <row r="5" spans="1:10" ht="25.5" customHeight="1" thickBot="1" x14ac:dyDescent="0.25">
      <c r="A5" s="223" t="s">
        <v>212</v>
      </c>
      <c r="B5" s="224">
        <v>0</v>
      </c>
      <c r="C5" s="224">
        <v>0</v>
      </c>
      <c r="D5" s="225">
        <v>0</v>
      </c>
      <c r="E5" s="224">
        <v>0</v>
      </c>
      <c r="F5" s="224">
        <v>0</v>
      </c>
      <c r="G5" s="655">
        <v>0</v>
      </c>
      <c r="H5" s="656">
        <v>0</v>
      </c>
      <c r="I5" s="224">
        <v>0</v>
      </c>
    </row>
    <row r="6" spans="1:10" ht="25.5" customHeight="1" thickBot="1" x14ac:dyDescent="0.25">
      <c r="A6" s="1543" t="s">
        <v>103</v>
      </c>
      <c r="B6" s="224">
        <v>1</v>
      </c>
      <c r="C6" s="224">
        <v>7</v>
      </c>
      <c r="D6" s="225">
        <v>2</v>
      </c>
      <c r="E6" s="224">
        <v>5</v>
      </c>
      <c r="F6" s="224">
        <v>4</v>
      </c>
      <c r="G6" s="655">
        <v>3</v>
      </c>
      <c r="H6" s="656">
        <v>3</v>
      </c>
      <c r="I6" s="224">
        <v>0</v>
      </c>
      <c r="J6" s="1236"/>
    </row>
    <row r="7" spans="1:10" ht="25.5" customHeight="1" thickBot="1" x14ac:dyDescent="0.25">
      <c r="A7" s="223" t="s">
        <v>257</v>
      </c>
      <c r="B7" s="224">
        <v>0</v>
      </c>
      <c r="C7" s="224">
        <v>0</v>
      </c>
      <c r="D7" s="225">
        <v>0</v>
      </c>
      <c r="E7" s="224">
        <v>0</v>
      </c>
      <c r="F7" s="224"/>
      <c r="G7" s="655"/>
      <c r="H7" s="656"/>
      <c r="I7" s="224">
        <v>0</v>
      </c>
    </row>
    <row r="8" spans="1:10" ht="53.25" customHeight="1" thickBot="1" x14ac:dyDescent="0.25">
      <c r="A8" s="223" t="s">
        <v>258</v>
      </c>
      <c r="B8" s="224">
        <v>1</v>
      </c>
      <c r="C8" s="224">
        <v>8</v>
      </c>
      <c r="D8" s="225">
        <v>8</v>
      </c>
      <c r="E8" s="224">
        <v>0</v>
      </c>
      <c r="F8" s="224">
        <v>3</v>
      </c>
      <c r="G8" s="655">
        <v>3</v>
      </c>
      <c r="H8" s="656">
        <v>3</v>
      </c>
      <c r="I8" s="224">
        <v>0</v>
      </c>
      <c r="J8" s="1236"/>
    </row>
    <row r="9" spans="1:10" ht="157.5" customHeight="1" thickBot="1" x14ac:dyDescent="0.25">
      <c r="A9" s="1543" t="s">
        <v>259</v>
      </c>
      <c r="B9" s="224">
        <v>5</v>
      </c>
      <c r="C9" s="224">
        <v>8</v>
      </c>
      <c r="D9" s="225">
        <v>8</v>
      </c>
      <c r="E9" s="224">
        <v>0</v>
      </c>
      <c r="F9" s="224">
        <v>5</v>
      </c>
      <c r="G9" s="655">
        <v>39</v>
      </c>
      <c r="H9" s="655">
        <v>39</v>
      </c>
      <c r="I9" s="224">
        <v>0</v>
      </c>
      <c r="J9" s="1236"/>
    </row>
    <row r="10" spans="1:10" ht="60.75" customHeight="1" thickBot="1" x14ac:dyDescent="0.25">
      <c r="A10" s="223" t="s">
        <v>260</v>
      </c>
      <c r="B10" s="224">
        <v>1</v>
      </c>
      <c r="C10" s="224">
        <v>1</v>
      </c>
      <c r="D10" s="225">
        <v>1</v>
      </c>
      <c r="E10" s="224">
        <v>0</v>
      </c>
      <c r="F10" s="224">
        <v>0</v>
      </c>
      <c r="G10" s="655">
        <v>0</v>
      </c>
      <c r="H10" s="656">
        <v>0</v>
      </c>
      <c r="I10" s="224">
        <v>0</v>
      </c>
    </row>
    <row r="11" spans="1:10" ht="33.75" customHeight="1" thickBot="1" x14ac:dyDescent="0.25">
      <c r="A11" s="223" t="s">
        <v>261</v>
      </c>
      <c r="B11" s="224">
        <v>3</v>
      </c>
      <c r="C11" s="224">
        <v>10</v>
      </c>
      <c r="D11" s="225">
        <v>10</v>
      </c>
      <c r="E11" s="224">
        <v>0</v>
      </c>
      <c r="F11" s="224">
        <v>9</v>
      </c>
      <c r="G11" s="655">
        <v>0</v>
      </c>
      <c r="H11" s="656">
        <v>0</v>
      </c>
      <c r="I11" s="225">
        <v>0</v>
      </c>
    </row>
    <row r="12" spans="1:10" ht="33" customHeight="1" thickBot="1" x14ac:dyDescent="0.25">
      <c r="A12" s="223" t="s">
        <v>262</v>
      </c>
      <c r="B12" s="224">
        <v>3</v>
      </c>
      <c r="C12" s="224">
        <v>3</v>
      </c>
      <c r="D12" s="225">
        <v>3</v>
      </c>
      <c r="E12" s="224">
        <v>0</v>
      </c>
      <c r="F12" s="224">
        <v>0</v>
      </c>
      <c r="G12" s="655">
        <v>0</v>
      </c>
      <c r="H12" s="656">
        <v>0</v>
      </c>
      <c r="I12" s="224">
        <v>0</v>
      </c>
    </row>
    <row r="13" spans="1:10" ht="57" customHeight="1" thickBot="1" x14ac:dyDescent="0.25">
      <c r="A13" s="1543" t="s">
        <v>109</v>
      </c>
      <c r="B13" s="224">
        <v>2</v>
      </c>
      <c r="C13" s="224">
        <v>7</v>
      </c>
      <c r="D13" s="225">
        <v>7</v>
      </c>
      <c r="E13" s="224">
        <v>0</v>
      </c>
      <c r="F13" s="224">
        <v>0</v>
      </c>
      <c r="G13" s="655">
        <v>3</v>
      </c>
      <c r="H13" s="656">
        <v>3</v>
      </c>
      <c r="I13" s="224">
        <v>0</v>
      </c>
      <c r="J13" s="1236"/>
    </row>
    <row r="14" spans="1:10" s="226" customFormat="1" ht="53.25" customHeight="1" thickBot="1" x14ac:dyDescent="0.25">
      <c r="A14" s="223" t="s">
        <v>263</v>
      </c>
      <c r="B14" s="224">
        <v>0</v>
      </c>
      <c r="C14" s="224">
        <v>6</v>
      </c>
      <c r="D14" s="225">
        <v>6</v>
      </c>
      <c r="E14" s="224">
        <v>0</v>
      </c>
      <c r="F14" s="224">
        <v>1</v>
      </c>
      <c r="G14" s="655">
        <v>0</v>
      </c>
      <c r="H14" s="656">
        <v>0</v>
      </c>
      <c r="I14" s="224">
        <v>0</v>
      </c>
    </row>
    <row r="15" spans="1:10" s="226" customFormat="1" ht="53.25" customHeight="1" thickBot="1" x14ac:dyDescent="0.25">
      <c r="A15" s="1543" t="s">
        <v>479</v>
      </c>
      <c r="B15" s="446"/>
      <c r="C15" s="446"/>
      <c r="D15" s="447"/>
      <c r="E15" s="446"/>
      <c r="F15" s="446"/>
      <c r="G15" s="655">
        <f>7+1+4</f>
        <v>12</v>
      </c>
      <c r="H15" s="655">
        <f>7+1+4</f>
        <v>12</v>
      </c>
      <c r="I15" s="224">
        <v>0</v>
      </c>
      <c r="J15" s="1236"/>
    </row>
    <row r="16" spans="1:10" s="226" customFormat="1" ht="53.25" customHeight="1" thickBot="1" x14ac:dyDescent="0.25">
      <c r="A16" s="1543" t="s">
        <v>470</v>
      </c>
      <c r="B16" s="446"/>
      <c r="C16" s="446"/>
      <c r="D16" s="447"/>
      <c r="E16" s="446"/>
      <c r="F16" s="446"/>
      <c r="G16" s="655">
        <v>7</v>
      </c>
      <c r="H16" s="655">
        <v>7</v>
      </c>
      <c r="I16" s="224">
        <v>0</v>
      </c>
      <c r="J16" s="1236"/>
    </row>
    <row r="17" spans="1:10" s="226" customFormat="1" ht="53.25" customHeight="1" thickBot="1" x14ac:dyDescent="0.25">
      <c r="A17" s="1543" t="s">
        <v>480</v>
      </c>
      <c r="B17" s="446"/>
      <c r="C17" s="446"/>
      <c r="D17" s="447"/>
      <c r="E17" s="446"/>
      <c r="F17" s="446"/>
      <c r="G17" s="655">
        <v>1</v>
      </c>
      <c r="H17" s="655">
        <v>1</v>
      </c>
      <c r="I17" s="224">
        <v>0</v>
      </c>
      <c r="J17" s="1236"/>
    </row>
    <row r="18" spans="1:10" s="226" customFormat="1" ht="53.25" customHeight="1" thickBot="1" x14ac:dyDescent="0.25">
      <c r="A18" s="223" t="s">
        <v>469</v>
      </c>
      <c r="B18" s="446"/>
      <c r="C18" s="446"/>
      <c r="D18" s="447"/>
      <c r="E18" s="446"/>
      <c r="F18" s="446"/>
      <c r="G18" s="655">
        <v>25</v>
      </c>
      <c r="H18" s="655">
        <v>25</v>
      </c>
      <c r="I18" s="224">
        <v>0</v>
      </c>
      <c r="J18" s="1236"/>
    </row>
    <row r="19" spans="1:10" ht="35.25" customHeight="1" thickBot="1" x14ac:dyDescent="0.25">
      <c r="A19" s="223" t="s">
        <v>412</v>
      </c>
      <c r="C19" s="222"/>
      <c r="D19" s="222"/>
      <c r="E19" s="222"/>
      <c r="F19" s="222"/>
      <c r="G19" s="655">
        <v>0</v>
      </c>
      <c r="H19" s="656">
        <v>0</v>
      </c>
      <c r="I19" s="224">
        <v>0</v>
      </c>
    </row>
    <row r="20" spans="1:10" ht="18" x14ac:dyDescent="0.2">
      <c r="A20" s="227" t="s">
        <v>117</v>
      </c>
      <c r="B20" s="225">
        <f>SUM(B4:B14)</f>
        <v>16</v>
      </c>
      <c r="C20" s="225">
        <f>SUM(C4:C14)</f>
        <v>50</v>
      </c>
      <c r="D20" s="225">
        <f>SUM(D4:D14)</f>
        <v>45</v>
      </c>
      <c r="E20" s="225">
        <f>SUM(E4:E14)</f>
        <v>5</v>
      </c>
      <c r="F20" s="225">
        <f>SUM(F4:F14)</f>
        <v>22</v>
      </c>
      <c r="G20" s="225">
        <f>SUM(G4:G19)</f>
        <v>93</v>
      </c>
      <c r="H20" s="225">
        <f>SUM(H4:H19)</f>
        <v>93</v>
      </c>
      <c r="I20" s="225">
        <f>SUM(I4:I19)</f>
        <v>0</v>
      </c>
    </row>
    <row r="21" spans="1:10" ht="13.5" thickBot="1" x14ac:dyDescent="0.25"/>
    <row r="22" spans="1:10" ht="374.25" customHeight="1" thickBot="1" x14ac:dyDescent="0.25">
      <c r="A22" s="2700" t="s">
        <v>1314</v>
      </c>
      <c r="B22" s="2701"/>
      <c r="C22" s="2701"/>
      <c r="D22" s="2701"/>
      <c r="E22" s="2701"/>
      <c r="F22" s="2701"/>
      <c r="G22" s="2701"/>
      <c r="H22" s="2701"/>
      <c r="I22" s="2702"/>
    </row>
  </sheetData>
  <mergeCells count="2">
    <mergeCell ref="A2:I2"/>
    <mergeCell ref="A22:I22"/>
  </mergeCells>
  <pageMargins left="0.74803149606299213" right="0.74803149606299213" top="0.98425196850393704" bottom="0.98425196850393704" header="0" footer="0"/>
  <pageSetup paperSize="11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8</vt:i4>
      </vt:variant>
    </vt:vector>
  </HeadingPairs>
  <TitlesOfParts>
    <vt:vector size="25" baseType="lpstr">
      <vt:lpstr>indicadores 2023</vt:lpstr>
      <vt:lpstr>indicadores 2022</vt:lpstr>
      <vt:lpstr>Objetivo 1(Encuestas)</vt:lpstr>
      <vt:lpstr>Objetivo 1(Calif. ss)</vt:lpstr>
      <vt:lpstr>Objetivo 1(Quejas)</vt:lpstr>
      <vt:lpstr>Objetivo 2 </vt:lpstr>
      <vt:lpstr>Objetivo 3 </vt:lpstr>
      <vt:lpstr>Cumplimiento Objetivos </vt:lpstr>
      <vt:lpstr>Eficacia del SGC (ajustado)</vt:lpstr>
      <vt:lpstr>NC 2021 - 2022</vt:lpstr>
      <vt:lpstr>ANEXO 2.Resultados aud.Inter</vt:lpstr>
      <vt:lpstr>NC Externa</vt:lpstr>
      <vt:lpstr>EVALUACIÓN A PROVEEDORES </vt:lpstr>
      <vt:lpstr>% Tareas_Rev.Gcial</vt:lpstr>
      <vt:lpstr>Gestion del Riesgo (2022)</vt:lpstr>
      <vt:lpstr>Gestión del Cambio (2022)</vt:lpstr>
      <vt:lpstr>Servicios No conformes</vt:lpstr>
      <vt:lpstr>'% Tareas_Rev.Gcial'!Área_de_impresión</vt:lpstr>
      <vt:lpstr>'ANEXO 2.Resultados aud.Inter'!Área_de_impresión</vt:lpstr>
      <vt:lpstr>'indicadores 2022'!Área_de_impresión</vt:lpstr>
      <vt:lpstr>'indicadores 2023'!Área_de_impresión</vt:lpstr>
      <vt:lpstr>'Objetivo 2 '!Área_de_impresión</vt:lpstr>
      <vt:lpstr>'Servicios No conformes'!Área_de_impresión</vt:lpstr>
      <vt:lpstr>'indicadores 2022'!Títulos_a_imprimir</vt:lpstr>
      <vt:lpstr>'indicadores 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dc:creator>
  <cp:lastModifiedBy>Gloria A. Sanchez M.</cp:lastModifiedBy>
  <dcterms:created xsi:type="dcterms:W3CDTF">2021-03-04T01:49:20Z</dcterms:created>
  <dcterms:modified xsi:type="dcterms:W3CDTF">2023-05-10T18:44:12Z</dcterms:modified>
</cp:coreProperties>
</file>